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Cover" sheetId="1" r:id="rId1"/>
    <sheet name="Drivers" sheetId="2" r:id="rId2"/>
    <sheet name="Historicals" sheetId="3" r:id="rId3"/>
    <sheet name="Cycle Diagnostic" sheetId="4" r:id="rId4"/>
    <sheet name="Forecast" sheetId="5" r:id="rId5"/>
    <sheet name="DCF" sheetId="6" r:id="rId6"/>
    <sheet name="LBO" sheetId="7" r:id="rId7"/>
    <sheet name="Returns Attribution" sheetId="8" r:id="rId8"/>
    <sheet name="Comps" sheetId="9" r:id="rId9"/>
    <sheet name="Sensitivity" sheetId="10" r:id="rId10"/>
    <sheet name="Football" sheetId="11" r:id="rId11"/>
    <sheet name="Notes" sheetId="12" r:id="rId12"/>
  </sheets>
  <definedNames>
    <definedName name="ib_betaT">Drivers!$B$26</definedName>
    <definedName name="ib_cxpct">Drivers!$B$18</definedName>
    <definedName name="ib_dapct">Drivers!$B$17</definedName>
    <definedName name="ib_EBDA1">Forecast!$C$5</definedName>
    <definedName name="ib_EBDA2">Forecast!$D$5</definedName>
    <definedName name="ib_EBDA3">Forecast!$E$5</definedName>
    <definedName name="ib_EBDA4">Forecast!$F$5</definedName>
    <definedName name="ib_EBDA5">Forecast!$G$5</definedName>
    <definedName name="ib_ebmgn">Drivers!$B$16</definedName>
    <definedName name="ib_entrym">Drivers!$B$35</definedName>
    <definedName name="ib_erp">Drivers!$B$24</definedName>
    <definedName name="ib_exitm">Drivers!$B$32</definedName>
    <definedName name="ib_FCF1">Forecast!$C$13</definedName>
    <definedName name="ib_FCF2">Forecast!$D$13</definedName>
    <definedName name="ib_FCF3">Forecast!$E$13</definedName>
    <definedName name="ib_FCF4">Forecast!$F$13</definedName>
    <definedName name="ib_FCF5">Forecast!$G$13</definedName>
    <definedName name="ib_grw1">Drivers!$B$11</definedName>
    <definedName name="ib_grw2">Drivers!$B$12</definedName>
    <definedName name="ib_grw3">Drivers!$B$13</definedName>
    <definedName name="ib_grw4">Drivers!$B$14</definedName>
    <definedName name="ib_grw5">Drivers!$B$15</definedName>
    <definedName name="ib_hold">Drivers!$B$38</definedName>
    <definedName name="ib_kdLBO">Drivers!$B$37</definedName>
    <definedName name="ib_leverage">Drivers!$B$36</definedName>
    <definedName name="ib_netdebt">Drivers!$B$7</definedName>
    <definedName name="ib_nwcpct">Drivers!$B$19</definedName>
    <definedName name="ib_px">Drivers!$B$6</definedName>
    <definedName name="ib_rf">Drivers!$B$23</definedName>
    <definedName name="ib_shares">Drivers!$B$5</definedName>
    <definedName name="ib_spread">Drivers!$B$27</definedName>
    <definedName name="ib_sweep">Drivers!$B$39</definedName>
    <definedName name="ib_tax">Drivers!$B$20</definedName>
    <definedName name="ib_tg">Drivers!$B$31</definedName>
    <definedName name="ib_WACC">DCF!$B$13</definedName>
    <definedName name="ib_wd">Drivers!$B$28</definedName>
  </definedNames>
  <calcPr calcId="124519" fullCalcOnLoad="1"/>
</workbook>
</file>

<file path=xl/sharedStrings.xml><?xml version="1.0" encoding="utf-8"?>
<sst xmlns="http://schemas.openxmlformats.org/spreadsheetml/2006/main" count="340" uniqueCount="283">
  <si>
    <t>Micron Technology, Inc. (MU) — IB Valuation Template</t>
  </si>
  <si>
    <t>Sector / Industry</t>
  </si>
  <si>
    <t>Technology / Semiconductors</t>
  </si>
  <si>
    <t>Reporting Currency</t>
  </si>
  <si>
    <t>USD</t>
  </si>
  <si>
    <t>Fiscal Year End</t>
  </si>
  <si>
    <t>2025-08-31</t>
  </si>
  <si>
    <t>As-of Date</t>
  </si>
  <si>
    <t>2026-05-07</t>
  </si>
  <si>
    <t>Industry Preset</t>
  </si>
  <si>
    <t>semiconductors_ai_cycle</t>
  </si>
  <si>
    <t>Mid-cycle method</t>
  </si>
  <si>
    <t>peak_half</t>
  </si>
  <si>
    <t>Cycle phase</t>
  </si>
  <si>
    <t>Near peak</t>
  </si>
  <si>
    <t>Position in margin range</t>
  </si>
  <si>
    <t>Latest EBITDA margin</t>
  </si>
  <si>
    <t>5y peak margin</t>
  </si>
  <si>
    <t>5y trough margin</t>
  </si>
  <si>
    <t>Headline outputs (linked)</t>
  </si>
  <si>
    <t>Current Market Price</t>
  </si>
  <si>
    <t>DCF Implied Price</t>
  </si>
  <si>
    <t>DCF Upside / (Downside)</t>
  </si>
  <si>
    <t>LBO Sponsor IRR</t>
  </si>
  <si>
    <t>LBO Sponsor MOIC</t>
  </si>
  <si>
    <t>How to use this workbook</t>
  </si>
  <si>
    <t>1. Yellow cells (Drivers tab) are the editable inputs — every other tab references them.
2. Edit any yellow cell to see the model recalculate live.
3. Cycle Diagnostic tab shows where the company sits in its own margin range.
4. Sanity Checks tab auto-flags issues (negative FCF, leverage breach, etc.).
5. To value a different company, open the notebook, change the TICKER cell, and Run All.
6. Notes tab logs every fallback or imputation used.</t>
  </si>
  <si>
    <t>DRIVERS — every yellow cell is editable</t>
  </si>
  <si>
    <t>Company snapshot</t>
  </si>
  <si>
    <t>Ticker</t>
  </si>
  <si>
    <t>MU</t>
  </si>
  <si>
    <t>Shares Outstanding</t>
  </si>
  <si>
    <t>Current Share Price</t>
  </si>
  <si>
    <t>Net Debt (latest)</t>
  </si>
  <si>
    <t>Beta (observed equity)</t>
  </si>
  <si>
    <t>Operating drivers (Forecast uses these)</t>
  </si>
  <si>
    <t>Revenue Growth Y1</t>
  </si>
  <si>
    <t>Revenue Growth Y2</t>
  </si>
  <si>
    <t>Revenue Growth Y3</t>
  </si>
  <si>
    <t>Revenue Growth Y4</t>
  </si>
  <si>
    <t>Revenue Growth Y5</t>
  </si>
  <si>
    <t>EBITDA Margin (mid-cycle)</t>
  </si>
  <si>
    <t>5y mid-cycle (peak_half)</t>
  </si>
  <si>
    <t>D&amp;A % Revenue</t>
  </si>
  <si>
    <t>Capex % Revenue</t>
  </si>
  <si>
    <t>NWC % Δ Revenue</t>
  </si>
  <si>
    <t>Effective Tax Rate</t>
  </si>
  <si>
    <t>WACC inputs</t>
  </si>
  <si>
    <t>Risk-free rate</t>
  </si>
  <si>
    <t>Equity risk premium</t>
  </si>
  <si>
    <t>Asset beta (delevered)</t>
  </si>
  <si>
    <t>Re-levered β @ target</t>
  </si>
  <si>
    <t>Credit spread (bps)</t>
  </si>
  <si>
    <t>Target Debt / EV</t>
  </si>
  <si>
    <t>Terminal value</t>
  </si>
  <si>
    <t>Terminal Growth (Gordon)</t>
  </si>
  <si>
    <t>Exit EBITDA Multiple</t>
  </si>
  <si>
    <t>LBO assumptions</t>
  </si>
  <si>
    <t>Entry EBITDA Multiple</t>
  </si>
  <si>
    <t>Debt / EBITDA at close</t>
  </si>
  <si>
    <t>Cost of LBO debt</t>
  </si>
  <si>
    <t>Hold period (yrs)</t>
  </si>
  <si>
    <t>Cash sweep %</t>
  </si>
  <si>
    <t>Historical Financials (sourced: yfinance)</t>
  </si>
  <si>
    <t>Line Item</t>
  </si>
  <si>
    <t>2021-08-31</t>
  </si>
  <si>
    <t>2022-08-31</t>
  </si>
  <si>
    <t>2023-08-31</t>
  </si>
  <si>
    <t>2024-08-31</t>
  </si>
  <si>
    <t>Revenue</t>
  </si>
  <si>
    <t>YoY Growth %</t>
  </si>
  <si>
    <t>Gross Profit</t>
  </si>
  <si>
    <t>Gross Margin %</t>
  </si>
  <si>
    <t>EBITDA</t>
  </si>
  <si>
    <t>EBITDA Margin %</t>
  </si>
  <si>
    <t>EBIT</t>
  </si>
  <si>
    <t>EBIT Margin %</t>
  </si>
  <si>
    <t>D&amp;A</t>
  </si>
  <si>
    <t>Net Income</t>
  </si>
  <si>
    <t>Net Margin %</t>
  </si>
  <si>
    <t>Diluted EPS</t>
  </si>
  <si>
    <t>Capex</t>
  </si>
  <si>
    <t>Operating Cash Flow</t>
  </si>
  <si>
    <t>OCF % Revenue</t>
  </si>
  <si>
    <t>Free Cash Flow</t>
  </si>
  <si>
    <t>FCF Margin %</t>
  </si>
  <si>
    <t>Total Debt</t>
  </si>
  <si>
    <t>Cash</t>
  </si>
  <si>
    <t>Net Debt</t>
  </si>
  <si>
    <t>Net Debt / EBITDA</t>
  </si>
  <si>
    <t>Total Equity</t>
  </si>
  <si>
    <t>ROE %</t>
  </si>
  <si>
    <t>ROIC %</t>
  </si>
  <si>
    <t>Working Capital</t>
  </si>
  <si>
    <t>NWC % Revenue</t>
  </si>
  <si>
    <t>Cycle Position Diagnostic</t>
  </si>
  <si>
    <t>5y median margin</t>
  </si>
  <si>
    <t>5y mean margin</t>
  </si>
  <si>
    <t>Number of obs</t>
  </si>
  <si>
    <t>Methodology used by this preset</t>
  </si>
  <si>
    <t>Window (years)</t>
  </si>
  <si>
    <t>How to read this</t>
  </si>
  <si>
    <t>Position 0% = at trough margin, 100% = at peak margin. For cyclicals, valuing off the latest reported margin is dangerous when position is &gt;85% (near peak) or &lt;15% (near trough). The mid-cycle method normalizes — winsorize drops outliers; peak_half assumes structural shift; median is robust to one bad year.</t>
  </si>
  <si>
    <t>5-Year Operating Forecast (formulas)</t>
  </si>
  <si>
    <t>FY2025 (Actual)</t>
  </si>
  <si>
    <t>FY2026E</t>
  </si>
  <si>
    <t>FY2027E</t>
  </si>
  <si>
    <t>FY2028E</t>
  </si>
  <si>
    <t>FY2029E</t>
  </si>
  <si>
    <t>FY2030E</t>
  </si>
  <si>
    <t>YoY %</t>
  </si>
  <si>
    <t>Cash Taxes</t>
  </si>
  <si>
    <t>NOPAT</t>
  </si>
  <si>
    <t>Δ NWC</t>
  </si>
  <si>
    <t>Unlevered FCF</t>
  </si>
  <si>
    <t>DCF Valuation (formulas)</t>
  </si>
  <si>
    <t>WACC Build (with Hamada re-levering)</t>
  </si>
  <si>
    <t>ERP</t>
  </si>
  <si>
    <t>Re-levered β</t>
  </si>
  <si>
    <t>Cost of Equity</t>
  </si>
  <si>
    <t>Pre-tax kd</t>
  </si>
  <si>
    <t>Tax</t>
  </si>
  <si>
    <t>After-tax kd</t>
  </si>
  <si>
    <t>Wd</t>
  </si>
  <si>
    <t>We</t>
  </si>
  <si>
    <t>WACC</t>
  </si>
  <si>
    <t>Year</t>
  </si>
  <si>
    <t>FCF</t>
  </si>
  <si>
    <t>Discount Factor (mid-yr)</t>
  </si>
  <si>
    <t>PV of FCF</t>
  </si>
  <si>
    <t>Sum PV explicit</t>
  </si>
  <si>
    <t>Y5 FCF</t>
  </si>
  <si>
    <t>TV — Gordon</t>
  </si>
  <si>
    <t>TV — Exit Mult</t>
  </si>
  <si>
    <t>TV — Blended</t>
  </si>
  <si>
    <t>PV of TV</t>
  </si>
  <si>
    <t>Enterprise Value</t>
  </si>
  <si>
    <t>Less: Net Debt</t>
  </si>
  <si>
    <t>Equity Value</t>
  </si>
  <si>
    <t>Diluted Shares</t>
  </si>
  <si>
    <t>Implied Price</t>
  </si>
  <si>
    <t>Current Price</t>
  </si>
  <si>
    <t>Upside %</t>
  </si>
  <si>
    <t>TV % of EV</t>
  </si>
  <si>
    <t>Headline DCF Px</t>
  </si>
  <si>
    <t>LBO Model — Sources/Uses, Debt Schedule, Returns</t>
  </si>
  <si>
    <t>Sources</t>
  </si>
  <si>
    <t>Source</t>
  </si>
  <si>
    <t>$ Amount</t>
  </si>
  <si>
    <t>% Total</t>
  </si>
  <si>
    <t>New Term Debt</t>
  </si>
  <si>
    <t>Sponsor Equity</t>
  </si>
  <si>
    <t>Total Sources</t>
  </si>
  <si>
    <t>Uses</t>
  </si>
  <si>
    <t>Use</t>
  </si>
  <si>
    <t>Transaction Fees (2% EV)</t>
  </si>
  <si>
    <t>Equity Purchase Price</t>
  </si>
  <si>
    <t>Total Uses</t>
  </si>
  <si>
    <t>Debt schedule (formulas)</t>
  </si>
  <si>
    <t>Y1</t>
  </si>
  <si>
    <t>Y2</t>
  </si>
  <si>
    <t>Y3</t>
  </si>
  <si>
    <t>Y4</t>
  </si>
  <si>
    <t>Y5</t>
  </si>
  <si>
    <t>Beginning Debt</t>
  </si>
  <si>
    <t>Mandatory Amort (1%)</t>
  </si>
  <si>
    <t>Cash Interest</t>
  </si>
  <si>
    <t>Less: Cash Taxes</t>
  </si>
  <si>
    <t>Less: Capex</t>
  </si>
  <si>
    <t>Less: Δ NWC</t>
  </si>
  <si>
    <t>CFADS</t>
  </si>
  <si>
    <t>Cash Sweep</t>
  </si>
  <si>
    <t>Ending Debt</t>
  </si>
  <si>
    <t>Interest Coverage</t>
  </si>
  <si>
    <t>Sponsor Returns</t>
  </si>
  <si>
    <t>Exit Year EBITDA</t>
  </si>
  <si>
    <t>Exit Multiple</t>
  </si>
  <si>
    <t>Exit EV</t>
  </si>
  <si>
    <t>Less: Exit Debt</t>
  </si>
  <si>
    <t>Plus: Retained Cash</t>
  </si>
  <si>
    <t>Equity to Sponsor</t>
  </si>
  <si>
    <t>Sponsor Equity Invested</t>
  </si>
  <si>
    <t>MOIC</t>
  </si>
  <si>
    <t>Hold Period</t>
  </si>
  <si>
    <t>IRR</t>
  </si>
  <si>
    <t>MOIC (linked)</t>
  </si>
  <si>
    <t>LBO Returns Attribution</t>
  </si>
  <si>
    <t>Decomposition of value created over hold</t>
  </si>
  <si>
    <t>Driver</t>
  </si>
  <si>
    <t>$ Contribution</t>
  </si>
  <si>
    <t>% of Total</t>
  </si>
  <si>
    <t>Notes</t>
  </si>
  <si>
    <t>EBITDA Growth</t>
  </si>
  <si>
    <t>Multiple Expansion / (Compression)</t>
  </si>
  <si>
    <t>Debt Paydown + Cash Generation</t>
  </si>
  <si>
    <t>Total Value Creation</t>
  </si>
  <si>
    <t>Sum of above (≈ change in sponsor equity)</t>
  </si>
  <si>
    <t>If EBITDA Growth dominates, the deal works on operational improvement. If Multiple Expansion dominates, the thesis is multiple re-rating — fragile. If Debt Paydown dominates, the deal is a financial-engineering bet — sensitive to interest rate environment and refinancing risk.</t>
  </si>
  <si>
    <t>Comparable Company Analysis</t>
  </si>
  <si>
    <t>Name</t>
  </si>
  <si>
    <t>Sector</t>
  </si>
  <si>
    <t>Industry</t>
  </si>
  <si>
    <t>Price</t>
  </si>
  <si>
    <t>Market Cap</t>
  </si>
  <si>
    <t>Revenue (LTM)</t>
  </si>
  <si>
    <t>EBITDA (LTM, Adj)</t>
  </si>
  <si>
    <t>Net Income (LTM)</t>
  </si>
  <si>
    <t>Diluted EPS (LTM)</t>
  </si>
  <si>
    <t>Forward EPS</t>
  </si>
  <si>
    <t>Book Value</t>
  </si>
  <si>
    <t>EV/Revenue (LTM)</t>
  </si>
  <si>
    <t>EV/EBITDA (LTM)</t>
  </si>
  <si>
    <t>EV/EBITDA (yf)</t>
  </si>
  <si>
    <t>P/E (LTM)</t>
  </si>
  <si>
    <t>Forward P/E</t>
  </si>
  <si>
    <t>P/B</t>
  </si>
  <si>
    <t>Micron Technology, Inc.</t>
  </si>
  <si>
    <t>Technology</t>
  </si>
  <si>
    <t>Semiconductors</t>
  </si>
  <si>
    <t>WDC</t>
  </si>
  <si>
    <t>Western Digital Corporation</t>
  </si>
  <si>
    <t>Computer Hardware</t>
  </si>
  <si>
    <t>STX</t>
  </si>
  <si>
    <t>Seagate Technology Holdings plc</t>
  </si>
  <si>
    <t>NVDA</t>
  </si>
  <si>
    <t>NVIDIA Corporation</t>
  </si>
  <si>
    <t>TSM</t>
  </si>
  <si>
    <t>Taiwan Semiconductor Manufacturing Company Limited</t>
  </si>
  <si>
    <t>AVGO</t>
  </si>
  <si>
    <t>Broadcom Inc.</t>
  </si>
  <si>
    <t>INTC</t>
  </si>
  <si>
    <t>Intel Corporation</t>
  </si>
  <si>
    <t>AMD</t>
  </si>
  <si>
    <t>Advanced Micro Devices, Inc.</t>
  </si>
  <si>
    <t>Peer-set statistics</t>
  </si>
  <si>
    <t>Multiple</t>
  </si>
  <si>
    <t>Min</t>
  </si>
  <si>
    <t>p25</t>
  </si>
  <si>
    <t>Median</t>
  </si>
  <si>
    <t>Mean</t>
  </si>
  <si>
    <t>p75</t>
  </si>
  <si>
    <t>Max</t>
  </si>
  <si>
    <t>Std</t>
  </si>
  <si>
    <t>Implied valuation w/ p25-p75 bands</t>
  </si>
  <si>
    <t>p25 mult</t>
  </si>
  <si>
    <t>Median mult</t>
  </si>
  <si>
    <t>p75 mult</t>
  </si>
  <si>
    <t>Low $/sh</t>
  </si>
  <si>
    <t>High $/sh</t>
  </si>
  <si>
    <t>Median $/sh</t>
  </si>
  <si>
    <t>Sensitivity Tables</t>
  </si>
  <si>
    <t>DCF — Implied Price (WACC × Terminal Growth)</t>
  </si>
  <si>
    <t>WACC \ Terminal g</t>
  </si>
  <si>
    <t>2.50%</t>
  </si>
  <si>
    <t>2.75%</t>
  </si>
  <si>
    <t>3.00%</t>
  </si>
  <si>
    <t>3.25%</t>
  </si>
  <si>
    <t>3.50%</t>
  </si>
  <si>
    <t>13.68%</t>
  </si>
  <si>
    <t>14.18%</t>
  </si>
  <si>
    <t>14.68%</t>
  </si>
  <si>
    <t>15.18%</t>
  </si>
  <si>
    <t>15.68%</t>
  </si>
  <si>
    <t>LBO — Sponsor IRR (Entry × Exit)</t>
  </si>
  <si>
    <t>Entry × Exit</t>
  </si>
  <si>
    <t>9.0x</t>
  </si>
  <si>
    <t>9.5x</t>
  </si>
  <si>
    <t>10.0x</t>
  </si>
  <si>
    <t>10.5x</t>
  </si>
  <si>
    <t>11.0x</t>
  </si>
  <si>
    <t>11.5x</t>
  </si>
  <si>
    <t>12.0x</t>
  </si>
  <si>
    <t>Football Field — Implied Equity Value Range</t>
  </si>
  <si>
    <t>Method</t>
  </si>
  <si>
    <t>Low</t>
  </si>
  <si>
    <t>Mid</t>
  </si>
  <si>
    <t>High</t>
  </si>
  <si>
    <t>vs Current</t>
  </si>
  <si>
    <t>Current price</t>
  </si>
  <si>
    <t>Audit Trail</t>
  </si>
  <si>
    <t>Every fallback or imputation used by the model is logged below.</t>
  </si>
  <si>
    <t>[20:16:04] EBITDA margin set via peak_half of trailing 5y (values: [54.9, 16.0, 38.2, 49.4]) → 52.2%.</t>
  </si>
  <si>
    <t>[20:16:11] ⚠ EV/EBITDA range 38.0× — peers likely at different cycle positions or business mixes. Median may be misleading; consider tighter peer set.</t>
  </si>
</sst>
</file>

<file path=xl/styles.xml><?xml version="1.0" encoding="utf-8"?>
<styleSheet xmlns="http://schemas.openxmlformats.org/spreadsheetml/2006/main">
  <numFmts count="8">
    <numFmt numFmtId="164" formatCode="0.0%"/>
    <numFmt numFmtId="165" formatCode="#,##0.00"/>
    <numFmt numFmtId="166" formatCode="0.00%"/>
    <numFmt numFmtId="167" formatCode="0.00&quot;x&quot;"/>
    <numFmt numFmtId="168" formatCode="#,##0"/>
    <numFmt numFmtId="169" formatCode="0.00"/>
    <numFmt numFmtId="170" formatCode="_($* #,##0.0,,,_);_($* (#,##0.0,,,);_($* &quot;-&quot;??_);_(@_)"/>
    <numFmt numFmtId="171" formatCode="#,##0,,"/>
  </numFmts>
  <fonts count="8">
    <font>
      <sz val="11"/>
      <color theme="1"/>
      <name val="Calibri"/>
      <family val="2"/>
      <scheme val="minor"/>
    </font>
    <font>
      <b/>
      <sz val="16"/>
      <color rgb="FF0B3D91"/>
      <name val="Calibri"/>
      <family val="2"/>
      <scheme val="minor"/>
    </font>
    <font>
      <b/>
      <sz val="11"/>
      <color theme="1"/>
      <name val="Calibri"/>
      <family val="2"/>
      <scheme val="minor"/>
    </font>
    <font>
      <b/>
      <sz val="12"/>
      <color rgb="FFFFFFFF"/>
      <name val="Calibri"/>
      <family val="2"/>
      <scheme val="minor"/>
    </font>
    <font>
      <i/>
      <sz val="11"/>
      <color rgb="FF666666"/>
      <name val="Calibri"/>
      <family val="2"/>
      <scheme val="minor"/>
    </font>
    <font>
      <b/>
      <sz val="14"/>
      <color rgb="FFFFFFFF"/>
      <name val="Calibri"/>
      <family val="2"/>
      <scheme val="minor"/>
    </font>
    <font>
      <i/>
      <sz val="11"/>
      <color rgb="FF0B3D91"/>
      <name val="Calibri"/>
      <family val="2"/>
      <scheme val="minor"/>
    </font>
    <font>
      <b/>
      <sz val="11"/>
      <color rgb="FF0B3D91"/>
      <name val="Calibri"/>
      <family val="2"/>
      <scheme val="minor"/>
    </font>
  </fonts>
  <fills count="7">
    <fill>
      <patternFill patternType="none"/>
    </fill>
    <fill>
      <patternFill patternType="gray125"/>
    </fill>
    <fill>
      <patternFill patternType="solid">
        <fgColor rgb="FF1F4E79"/>
        <bgColor indexed="64"/>
      </patternFill>
    </fill>
    <fill>
      <patternFill patternType="solid">
        <fgColor rgb="FFE2EFDA"/>
        <bgColor indexed="64"/>
      </patternFill>
    </fill>
    <fill>
      <patternFill patternType="solid">
        <fgColor rgb="FF0B3D91"/>
        <bgColor indexed="64"/>
      </patternFill>
    </fill>
    <fill>
      <patternFill patternType="solid">
        <fgColor rgb="FFFFF2CC"/>
        <bgColor indexed="64"/>
      </patternFill>
    </fill>
    <fill>
      <patternFill patternType="solid">
        <fgColor rgb="FFD9E1F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0">
    <xf numFmtId="0" fontId="0" fillId="0" borderId="0" xfId="0"/>
    <xf numFmtId="0" fontId="1" fillId="0" borderId="0" xfId="0" applyFont="1"/>
    <xf numFmtId="0" fontId="2" fillId="0" borderId="0" xfId="0" applyFont="1" applyAlignment="1">
      <alignment horizontal="left"/>
    </xf>
    <xf numFmtId="164" fontId="0" fillId="0" borderId="0" xfId="0" applyNumberFormat="1"/>
    <xf numFmtId="0" fontId="3" fillId="2" borderId="1" xfId="0" applyFont="1" applyFill="1" applyBorder="1" applyAlignment="1">
      <alignment horizontal="left"/>
    </xf>
    <xf numFmtId="165" fontId="0" fillId="0" borderId="0" xfId="0" applyNumberFormat="1"/>
    <xf numFmtId="165" fontId="2" fillId="3" borderId="1" xfId="0" applyNumberFormat="1" applyFont="1" applyFill="1" applyBorder="1"/>
    <xf numFmtId="166" fontId="2" fillId="3" borderId="1" xfId="0" applyNumberFormat="1" applyFont="1" applyFill="1" applyBorder="1"/>
    <xf numFmtId="167" fontId="0" fillId="0" borderId="0" xfId="0" applyNumberFormat="1"/>
    <xf numFmtId="0" fontId="4" fillId="0" borderId="0" xfId="0" applyFont="1" applyAlignment="1">
      <alignment vertical="top" wrapText="1"/>
    </xf>
    <xf numFmtId="0" fontId="5" fillId="4" borderId="1" xfId="0" applyFont="1" applyFill="1" applyBorder="1" applyAlignment="1">
      <alignment horizontal="left"/>
    </xf>
    <xf numFmtId="168" fontId="6" fillId="5" borderId="1" xfId="0" applyNumberFormat="1" applyFont="1" applyFill="1" applyBorder="1"/>
    <xf numFmtId="169" fontId="6" fillId="5" borderId="1" xfId="0" applyNumberFormat="1" applyFont="1" applyFill="1" applyBorder="1"/>
    <xf numFmtId="170" fontId="0" fillId="0" borderId="0" xfId="0" applyNumberFormat="1"/>
    <xf numFmtId="166" fontId="6" fillId="5" borderId="1" xfId="0" applyNumberFormat="1" applyFont="1" applyFill="1" applyBorder="1"/>
    <xf numFmtId="0" fontId="2" fillId="6" borderId="1" xfId="0" applyFont="1" applyFill="1" applyBorder="1" applyAlignment="1">
      <alignment horizontal="center"/>
    </xf>
    <xf numFmtId="171" fontId="0" fillId="0" borderId="0" xfId="0" applyNumberFormat="1"/>
    <xf numFmtId="168" fontId="0" fillId="0" borderId="0" xfId="0" applyNumberFormat="1"/>
    <xf numFmtId="0" fontId="7" fillId="0" borderId="0" xfId="0" applyFont="1"/>
    <xf numFmtId="166" fontId="0" fillId="0" borderId="0" xfId="0" applyNumberFormat="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theme" Target="theme/theme1.xml"/><Relationship Id="rId14" Type="http://schemas.openxmlformats.org/officeDocument/2006/relationships/styles" Target="styles.xml"/><Relationship Id="rId15"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B33"/>
  <sheetViews>
    <sheetView tabSelected="1" workbookViewId="0"/>
  </sheetViews>
  <sheetFormatPr defaultRowHeight="15"/>
  <cols>
    <col min="1" max="1" width="32.7109375" customWidth="1"/>
    <col min="2" max="2" width="60.7109375" customWidth="1"/>
  </cols>
  <sheetData>
    <row r="1" spans="1:2">
      <c r="A1" s="1" t="s">
        <v>0</v>
      </c>
      <c r="B1" s="1"/>
    </row>
    <row r="3" spans="1:2">
      <c r="A3" s="2" t="s">
        <v>1</v>
      </c>
      <c r="B3" t="s">
        <v>2</v>
      </c>
    </row>
    <row r="4" spans="1:2">
      <c r="A4" s="2" t="s">
        <v>3</v>
      </c>
      <c r="B4" t="s">
        <v>4</v>
      </c>
    </row>
    <row r="5" spans="1:2">
      <c r="A5" s="2" t="s">
        <v>5</v>
      </c>
      <c r="B5" t="s">
        <v>6</v>
      </c>
    </row>
    <row r="6" spans="1:2">
      <c r="A6" s="2" t="s">
        <v>7</v>
      </c>
      <c r="B6" t="s">
        <v>8</v>
      </c>
    </row>
    <row r="7" spans="1:2">
      <c r="A7" s="2" t="s">
        <v>9</v>
      </c>
      <c r="B7" t="s">
        <v>10</v>
      </c>
    </row>
    <row r="8" spans="1:2">
      <c r="A8" s="2" t="s">
        <v>11</v>
      </c>
      <c r="B8" t="s">
        <v>12</v>
      </c>
    </row>
    <row r="10" spans="1:2">
      <c r="A10" s="2" t="s">
        <v>13</v>
      </c>
      <c r="B10" t="s">
        <v>14</v>
      </c>
    </row>
    <row r="11" spans="1:2">
      <c r="A11" s="2" t="s">
        <v>15</v>
      </c>
      <c r="B11" s="3">
        <v>0.8606069336826899</v>
      </c>
    </row>
    <row r="12" spans="1:2">
      <c r="A12" s="2" t="s">
        <v>16</v>
      </c>
      <c r="B12" s="3">
        <v>0.4944887366900316</v>
      </c>
    </row>
    <row r="13" spans="1:2">
      <c r="A13" s="2" t="s">
        <v>17</v>
      </c>
      <c r="B13" s="3">
        <v>0.548670264646596</v>
      </c>
    </row>
    <row r="14" spans="1:2">
      <c r="A14" s="2" t="s">
        <v>18</v>
      </c>
      <c r="B14" s="3">
        <v>0.15997425997426</v>
      </c>
    </row>
    <row r="16" spans="1:2">
      <c r="A16" s="4" t="s">
        <v>19</v>
      </c>
      <c r="B16" s="4"/>
    </row>
    <row r="17" spans="1:2">
      <c r="A17" s="2" t="s">
        <v>20</v>
      </c>
      <c r="B17" s="5">
        <v>646.63</v>
      </c>
    </row>
    <row r="18" spans="1:2">
      <c r="A18" s="2" t="s">
        <v>21</v>
      </c>
      <c r="B18" s="6">
        <f>DCF!B40</f>
        <v>0</v>
      </c>
    </row>
    <row r="19" spans="1:2">
      <c r="A19" s="2" t="s">
        <v>22</v>
      </c>
      <c r="B19" s="7">
        <f>B18/B17-1</f>
        <v>0</v>
      </c>
    </row>
    <row r="20" spans="1:2">
      <c r="A20" s="2" t="s">
        <v>23</v>
      </c>
      <c r="B20" s="7">
        <f>LBO!B40</f>
        <v>0</v>
      </c>
    </row>
    <row r="21" spans="1:2">
      <c r="A21" s="2" t="s">
        <v>24</v>
      </c>
      <c r="B21" s="8">
        <f>LBO!B41</f>
        <v>0</v>
      </c>
    </row>
    <row r="25" spans="1:2">
      <c r="A25" s="4" t="s">
        <v>25</v>
      </c>
      <c r="B25" s="4"/>
    </row>
    <row r="26" spans="1:2">
      <c r="A26" s="9" t="s">
        <v>26</v>
      </c>
      <c r="B26" s="9"/>
    </row>
    <row r="27" spans="1:2">
      <c r="A27" s="9"/>
      <c r="B27" s="9"/>
    </row>
    <row r="28" spans="1:2">
      <c r="A28" s="9"/>
      <c r="B28" s="9"/>
    </row>
    <row r="29" spans="1:2">
      <c r="A29" s="9"/>
      <c r="B29" s="9"/>
    </row>
    <row r="30" spans="1:2">
      <c r="A30" s="9"/>
      <c r="B30" s="9"/>
    </row>
    <row r="31" spans="1:2">
      <c r="A31" s="9"/>
      <c r="B31" s="9"/>
    </row>
    <row r="32" spans="1:2">
      <c r="A32" s="9"/>
      <c r="B32" s="9"/>
    </row>
    <row r="33" spans="1:2">
      <c r="A33" s="9"/>
      <c r="B33" s="9"/>
    </row>
  </sheetData>
  <mergeCells count="4">
    <mergeCell ref="A1:B1"/>
    <mergeCell ref="A16:B16"/>
    <mergeCell ref="A25:B25"/>
    <mergeCell ref="A26:B33"/>
  </mergeCell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G18"/>
  <sheetViews>
    <sheetView workbookViewId="0"/>
  </sheetViews>
  <sheetFormatPr defaultRowHeight="15"/>
  <cols>
    <col min="1" max="1" width="22.7109375" customWidth="1"/>
    <col min="2" max="26" width="12.7109375" customWidth="1"/>
  </cols>
  <sheetData>
    <row r="1" spans="1:7">
      <c r="A1" s="10" t="s">
        <v>250</v>
      </c>
      <c r="B1" s="10"/>
      <c r="C1" s="10"/>
      <c r="D1" s="10"/>
      <c r="E1" s="10"/>
      <c r="F1" s="10"/>
      <c r="G1" s="10"/>
    </row>
    <row r="3" spans="1:7">
      <c r="A3" s="4" t="s">
        <v>251</v>
      </c>
      <c r="B3" s="4"/>
      <c r="C3" s="4"/>
      <c r="D3" s="4"/>
      <c r="E3" s="4"/>
      <c r="F3" s="4"/>
    </row>
    <row r="4" spans="1:7">
      <c r="A4" s="15" t="s">
        <v>252</v>
      </c>
      <c r="B4" s="15" t="s">
        <v>253</v>
      </c>
      <c r="C4" s="15" t="s">
        <v>254</v>
      </c>
      <c r="D4" s="15" t="s">
        <v>255</v>
      </c>
      <c r="E4" s="15" t="s">
        <v>256</v>
      </c>
      <c r="F4" s="15" t="s">
        <v>257</v>
      </c>
    </row>
    <row r="5" spans="1:7">
      <c r="A5" s="2" t="s">
        <v>258</v>
      </c>
      <c r="B5" s="5">
        <v>130.5867470733992</v>
      </c>
      <c r="C5" s="5">
        <v>131.1994720514466</v>
      </c>
      <c r="D5" s="5">
        <v>131.8408746003097</v>
      </c>
      <c r="E5" s="5">
        <v>132.5130162725727</v>
      </c>
      <c r="F5" s="5">
        <v>133.2181610712358</v>
      </c>
    </row>
    <row r="6" spans="1:7">
      <c r="A6" s="2" t="s">
        <v>259</v>
      </c>
      <c r="B6" s="5">
        <v>127.3103033148451</v>
      </c>
      <c r="C6" s="5">
        <v>127.8626070054441</v>
      </c>
      <c r="D6" s="5">
        <v>128.4396045926093</v>
      </c>
      <c r="E6" s="5">
        <v>129.0429900690622</v>
      </c>
      <c r="F6" s="5">
        <v>129.6746159965332</v>
      </c>
    </row>
    <row r="7" spans="1:7">
      <c r="A7" s="2" t="s">
        <v>260</v>
      </c>
      <c r="B7" s="5">
        <v>124.2072195051442</v>
      </c>
      <c r="C7" s="5">
        <v>124.7069628912617</v>
      </c>
      <c r="D7" s="5">
        <v>125.2280939083866</v>
      </c>
      <c r="E7" s="5">
        <v>125.7720155761336</v>
      </c>
      <c r="F7" s="5">
        <v>126.3402563741562</v>
      </c>
    </row>
    <row r="8" spans="1:7">
      <c r="A8" s="2" t="s">
        <v>261</v>
      </c>
      <c r="B8" s="5">
        <v>121.260442117184</v>
      </c>
      <c r="C8" s="5">
        <v>121.7142168625543</v>
      </c>
      <c r="D8" s="5">
        <v>122.1866148840212</v>
      </c>
      <c r="E8" s="5">
        <v>122.6788066715766</v>
      </c>
      <c r="F8" s="5">
        <v>123.1920629026634</v>
      </c>
    </row>
    <row r="9" spans="1:7">
      <c r="A9" s="2" t="s">
        <v>262</v>
      </c>
      <c r="B9" s="5">
        <v>118.4553781603902</v>
      </c>
      <c r="C9" s="5">
        <v>118.8687497921176</v>
      </c>
      <c r="D9" s="5">
        <v>119.2984177114635</v>
      </c>
      <c r="E9" s="5">
        <v>119.7453649648134</v>
      </c>
      <c r="F9" s="5">
        <v>120.2106552885626</v>
      </c>
    </row>
    <row r="12" spans="1:7">
      <c r="A12" s="4" t="s">
        <v>263</v>
      </c>
      <c r="B12" s="4"/>
      <c r="C12" s="4"/>
      <c r="D12" s="4"/>
      <c r="E12" s="4"/>
      <c r="F12" s="4"/>
    </row>
    <row r="13" spans="1:7">
      <c r="A13" s="15" t="s">
        <v>264</v>
      </c>
      <c r="B13" s="15" t="s">
        <v>265</v>
      </c>
      <c r="C13" s="15" t="s">
        <v>266</v>
      </c>
      <c r="D13" s="15" t="s">
        <v>267</v>
      </c>
      <c r="E13" s="15" t="s">
        <v>268</v>
      </c>
      <c r="F13" s="15" t="s">
        <v>269</v>
      </c>
    </row>
    <row r="14" spans="1:7">
      <c r="A14" s="2" t="s">
        <v>267</v>
      </c>
      <c r="B14" s="3">
        <v>0.08331458144394344</v>
      </c>
      <c r="C14" s="3">
        <v>0.09947931837720414</v>
      </c>
      <c r="D14" s="3">
        <v>0.1147457951810536</v>
      </c>
      <c r="E14" s="3">
        <v>0.1292190715451541</v>
      </c>
      <c r="F14" s="3">
        <v>0.1429862525207383</v>
      </c>
    </row>
    <row r="15" spans="1:7">
      <c r="A15" s="2" t="s">
        <v>268</v>
      </c>
      <c r="B15" s="3">
        <v>0.06669054231940452</v>
      </c>
      <c r="C15" s="3">
        <v>0.0826072227565936</v>
      </c>
      <c r="D15" s="3">
        <v>0.09763942734438646</v>
      </c>
      <c r="E15" s="3">
        <v>0.1118906035755632</v>
      </c>
      <c r="F15" s="3">
        <v>0.1254465198279607</v>
      </c>
    </row>
    <row r="16" spans="1:7">
      <c r="A16" s="2" t="s">
        <v>269</v>
      </c>
      <c r="B16" s="3">
        <v>0.05148853996225941</v>
      </c>
      <c r="C16" s="3">
        <v>0.06717838290166955</v>
      </c>
      <c r="D16" s="3">
        <v>0.08199635515073778</v>
      </c>
      <c r="E16" s="3">
        <v>0.09604442991427853</v>
      </c>
      <c r="F16" s="3">
        <v>0.1094071532370996</v>
      </c>
    </row>
    <row r="17" spans="1:6">
      <c r="A17" s="2" t="s">
        <v>270</v>
      </c>
      <c r="B17" s="3">
        <v>0.03750034125687807</v>
      </c>
      <c r="C17" s="3">
        <v>0.05298145853514081</v>
      </c>
      <c r="D17" s="3">
        <v>0.06760230382337842</v>
      </c>
      <c r="E17" s="3">
        <v>0.08146349375294132</v>
      </c>
      <c r="F17" s="3">
        <v>0.0946484496327703</v>
      </c>
    </row>
    <row r="18" spans="1:6">
      <c r="A18" s="2" t="s">
        <v>271</v>
      </c>
      <c r="B18" s="3">
        <v>0.02455930826194164</v>
      </c>
      <c r="C18" s="3">
        <v>0.03984732521866241</v>
      </c>
      <c r="D18" s="3">
        <v>0.05428580059937815</v>
      </c>
      <c r="E18" s="3">
        <v>0.06797409601595208</v>
      </c>
      <c r="F18" s="3">
        <v>0.08099459223992123</v>
      </c>
    </row>
  </sheetData>
  <mergeCells count="3">
    <mergeCell ref="A1:G1"/>
    <mergeCell ref="A3:F3"/>
    <mergeCell ref="A12:F12"/>
  </mergeCells>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F6"/>
  <sheetViews>
    <sheetView workbookViewId="0"/>
  </sheetViews>
  <sheetFormatPr defaultRowHeight="15"/>
  <cols>
    <col min="1" max="1" width="32.7109375" customWidth="1"/>
    <col min="2" max="5" width="16.7109375" customWidth="1"/>
  </cols>
  <sheetData>
    <row r="1" spans="1:6">
      <c r="A1" s="10" t="s">
        <v>272</v>
      </c>
      <c r="B1" s="10"/>
      <c r="C1" s="10"/>
      <c r="D1" s="10"/>
      <c r="E1" s="10"/>
      <c r="F1" s="10"/>
    </row>
    <row r="3" spans="1:6">
      <c r="A3" s="15" t="s">
        <v>273</v>
      </c>
      <c r="B3" s="15" t="s">
        <v>274</v>
      </c>
      <c r="C3" s="15" t="s">
        <v>275</v>
      </c>
      <c r="D3" s="15" t="s">
        <v>276</v>
      </c>
      <c r="E3" s="15" t="s">
        <v>277</v>
      </c>
      <c r="F3" s="15" t="s">
        <v>147</v>
      </c>
    </row>
    <row r="6" spans="1:6">
      <c r="A6" s="18" t="s">
        <v>278</v>
      </c>
      <c r="B6" s="5">
        <f>ib_px</f>
        <v>0</v>
      </c>
    </row>
  </sheetData>
  <mergeCells count="1">
    <mergeCell ref="A1:F1"/>
  </mergeCell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A5"/>
  <sheetViews>
    <sheetView workbookViewId="0"/>
  </sheetViews>
  <sheetFormatPr defaultRowHeight="15"/>
  <cols>
    <col min="1" max="1" width="100.7109375" customWidth="1"/>
  </cols>
  <sheetData>
    <row r="1" spans="1:1">
      <c r="A1" s="10" t="s">
        <v>279</v>
      </c>
    </row>
    <row r="2" spans="1:1">
      <c r="A2" s="9" t="s">
        <v>280</v>
      </c>
    </row>
    <row r="4" spans="1:1">
      <c r="A4" s="9" t="s">
        <v>281</v>
      </c>
    </row>
    <row r="5" spans="1:1">
      <c r="A5" s="9" t="s">
        <v>282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C39"/>
  <sheetViews>
    <sheetView workbookViewId="0"/>
  </sheetViews>
  <sheetFormatPr defaultRowHeight="15"/>
  <cols>
    <col min="1" max="1" width="38.7109375" customWidth="1"/>
    <col min="2" max="2" width="18.7109375" customWidth="1"/>
    <col min="3" max="3" width="60.7109375" customWidth="1"/>
  </cols>
  <sheetData>
    <row r="1" spans="1:3">
      <c r="A1" s="10" t="s">
        <v>27</v>
      </c>
      <c r="B1" s="10"/>
      <c r="C1" s="10"/>
    </row>
    <row r="3" spans="1:3">
      <c r="A3" s="4" t="s">
        <v>28</v>
      </c>
      <c r="B3" s="4"/>
      <c r="C3" s="4"/>
    </row>
    <row r="4" spans="1:3">
      <c r="A4" s="2" t="s">
        <v>29</v>
      </c>
      <c r="B4" s="11" t="s">
        <v>30</v>
      </c>
    </row>
    <row r="5" spans="1:3">
      <c r="A5" s="2" t="s">
        <v>31</v>
      </c>
      <c r="B5" s="11">
        <v>1127734051</v>
      </c>
    </row>
    <row r="6" spans="1:3">
      <c r="A6" s="2" t="s">
        <v>32</v>
      </c>
      <c r="B6" s="12">
        <v>646.63</v>
      </c>
    </row>
    <row r="7" spans="1:3">
      <c r="A7" s="2" t="s">
        <v>33</v>
      </c>
      <c r="B7" s="13">
        <v>-3790999552</v>
      </c>
    </row>
    <row r="8" spans="1:3">
      <c r="A8" s="2" t="s">
        <v>34</v>
      </c>
      <c r="B8" s="12">
        <v>1.919</v>
      </c>
    </row>
    <row r="10" spans="1:3">
      <c r="A10" s="4" t="s">
        <v>35</v>
      </c>
      <c r="B10" s="4"/>
      <c r="C10" s="4"/>
    </row>
    <row r="11" spans="1:3">
      <c r="A11" s="2" t="s">
        <v>36</v>
      </c>
      <c r="B11" s="14">
        <v>0.35</v>
      </c>
    </row>
    <row r="12" spans="1:3">
      <c r="A12" s="2" t="s">
        <v>37</v>
      </c>
      <c r="B12" s="14">
        <v>0.2</v>
      </c>
    </row>
    <row r="13" spans="1:3">
      <c r="A13" s="2" t="s">
        <v>38</v>
      </c>
      <c r="B13" s="14">
        <v>0.1</v>
      </c>
    </row>
    <row r="14" spans="1:3">
      <c r="A14" s="2" t="s">
        <v>39</v>
      </c>
      <c r="B14" s="14">
        <v>0.06</v>
      </c>
    </row>
    <row r="15" spans="1:3">
      <c r="A15" s="2" t="s">
        <v>40</v>
      </c>
      <c r="B15" s="14">
        <v>0.04</v>
      </c>
    </row>
    <row r="16" spans="1:3">
      <c r="A16" s="2" t="s">
        <v>41</v>
      </c>
      <c r="B16" s="14">
        <v>0.5215795006683137</v>
      </c>
      <c r="C16" s="9" t="s">
        <v>42</v>
      </c>
    </row>
    <row r="17" spans="1:3">
      <c r="A17" s="2" t="s">
        <v>43</v>
      </c>
      <c r="B17" s="14">
        <v>0.18</v>
      </c>
    </row>
    <row r="18" spans="1:3">
      <c r="A18" s="2" t="s">
        <v>44</v>
      </c>
      <c r="B18" s="14">
        <v>0.32</v>
      </c>
    </row>
    <row r="19" spans="1:3">
      <c r="A19" s="2" t="s">
        <v>45</v>
      </c>
      <c r="B19" s="14">
        <v>0.16</v>
      </c>
    </row>
    <row r="20" spans="1:3">
      <c r="A20" s="2" t="s">
        <v>46</v>
      </c>
      <c r="B20" s="14">
        <v>0.15</v>
      </c>
    </row>
    <row r="22" spans="1:3">
      <c r="A22" s="4" t="s">
        <v>47</v>
      </c>
      <c r="B22" s="4"/>
      <c r="C22" s="4"/>
    </row>
    <row r="23" spans="1:3">
      <c r="A23" s="2" t="s">
        <v>48</v>
      </c>
      <c r="B23" s="14">
        <v>0.043919997215271</v>
      </c>
    </row>
    <row r="24" spans="1:3">
      <c r="A24" s="2" t="s">
        <v>49</v>
      </c>
      <c r="B24" s="14">
        <v>0.055</v>
      </c>
    </row>
    <row r="25" spans="1:3">
      <c r="A25" s="2" t="s">
        <v>50</v>
      </c>
      <c r="B25" s="5">
        <v>1.8951470215909</v>
      </c>
    </row>
    <row r="26" spans="1:3">
      <c r="A26" s="2" t="s">
        <v>51</v>
      </c>
      <c r="B26" s="5">
        <v>2.24875372196091</v>
      </c>
    </row>
    <row r="27" spans="1:3">
      <c r="A27" s="2" t="s">
        <v>52</v>
      </c>
      <c r="B27" s="11">
        <v>175</v>
      </c>
    </row>
    <row r="28" spans="1:3">
      <c r="A28" s="2" t="s">
        <v>53</v>
      </c>
      <c r="B28" s="14">
        <v>0.18</v>
      </c>
    </row>
    <row r="30" spans="1:3">
      <c r="A30" s="4" t="s">
        <v>54</v>
      </c>
      <c r="B30" s="4"/>
      <c r="C30" s="4"/>
    </row>
    <row r="31" spans="1:3">
      <c r="A31" s="2" t="s">
        <v>55</v>
      </c>
      <c r="B31" s="14">
        <v>0.03</v>
      </c>
    </row>
    <row r="32" spans="1:3">
      <c r="A32" s="2" t="s">
        <v>56</v>
      </c>
      <c r="B32" s="12">
        <v>10</v>
      </c>
    </row>
    <row r="34" spans="1:3">
      <c r="A34" s="4" t="s">
        <v>57</v>
      </c>
      <c r="B34" s="4"/>
      <c r="C34" s="4"/>
    </row>
    <row r="35" spans="1:3">
      <c r="A35" s="2" t="s">
        <v>58</v>
      </c>
      <c r="B35" s="12">
        <v>11</v>
      </c>
    </row>
    <row r="36" spans="1:3">
      <c r="A36" s="2" t="s">
        <v>59</v>
      </c>
      <c r="B36" s="12">
        <v>4</v>
      </c>
    </row>
    <row r="37" spans="1:3">
      <c r="A37" s="2" t="s">
        <v>60</v>
      </c>
      <c r="B37" s="14">
        <v>0.08500000000000001</v>
      </c>
    </row>
    <row r="38" spans="1:3">
      <c r="A38" s="2" t="s">
        <v>61</v>
      </c>
      <c r="B38" s="11">
        <v>5</v>
      </c>
    </row>
    <row r="39" spans="1:3">
      <c r="A39" s="2" t="s">
        <v>62</v>
      </c>
      <c r="B39" s="14">
        <v>0.75</v>
      </c>
    </row>
  </sheetData>
  <mergeCells count="6">
    <mergeCell ref="A1:C1"/>
    <mergeCell ref="A3:C3"/>
    <mergeCell ref="A10:C10"/>
    <mergeCell ref="A22:C22"/>
    <mergeCell ref="A30:C30"/>
    <mergeCell ref="A34:C34"/>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H30"/>
  <sheetViews>
    <sheetView workbookViewId="0"/>
  </sheetViews>
  <sheetFormatPr defaultRowHeight="15"/>
  <cols>
    <col min="1" max="1" width="32.7109375" customWidth="1"/>
    <col min="2" max="8" width="16.7109375" customWidth="1"/>
  </cols>
  <sheetData>
    <row r="1" spans="1:8">
      <c r="A1" s="10" t="s">
        <v>63</v>
      </c>
      <c r="B1" s="10"/>
      <c r="C1" s="10"/>
      <c r="D1" s="10"/>
      <c r="E1" s="10"/>
      <c r="F1" s="10"/>
      <c r="G1" s="10"/>
      <c r="H1" s="10"/>
    </row>
    <row r="2" spans="1:8">
      <c r="A2" s="15" t="s">
        <v>64</v>
      </c>
      <c r="B2" s="15" t="s">
        <v>65</v>
      </c>
      <c r="C2" s="15" t="s">
        <v>66</v>
      </c>
      <c r="D2" s="15" t="s">
        <v>67</v>
      </c>
      <c r="E2" s="15" t="s">
        <v>68</v>
      </c>
      <c r="F2" s="15" t="s">
        <v>6</v>
      </c>
    </row>
    <row r="3" spans="1:8">
      <c r="A3" s="2" t="s">
        <v>69</v>
      </c>
      <c r="C3" s="16">
        <v>30758000000</v>
      </c>
      <c r="D3" s="16">
        <v>15540000000</v>
      </c>
      <c r="E3" s="16">
        <v>25111000000</v>
      </c>
      <c r="F3" s="16">
        <v>37378000000</v>
      </c>
    </row>
    <row r="4" spans="1:8">
      <c r="A4" s="2" t="s">
        <v>70</v>
      </c>
      <c r="D4" s="3">
        <v>-0.4947655894401457</v>
      </c>
      <c r="E4" s="3">
        <v>0.6158944658944658</v>
      </c>
      <c r="F4" s="3">
        <v>0.4885110111106685</v>
      </c>
    </row>
    <row r="5" spans="1:8">
      <c r="A5" s="2" t="s">
        <v>71</v>
      </c>
      <c r="C5" s="16">
        <v>13898000000</v>
      </c>
      <c r="D5" s="16">
        <v>-1416000000</v>
      </c>
      <c r="E5" s="16">
        <v>5613000000</v>
      </c>
      <c r="F5" s="16">
        <v>14873000000</v>
      </c>
    </row>
    <row r="6" spans="1:8">
      <c r="A6" s="2" t="s">
        <v>72</v>
      </c>
      <c r="C6" s="3">
        <v>0.4518499252227063</v>
      </c>
      <c r="D6" s="3">
        <v>-0.09111969111969112</v>
      </c>
      <c r="E6" s="3">
        <v>0.2235275377324678</v>
      </c>
      <c r="F6" s="3">
        <v>0.3979078602386431</v>
      </c>
    </row>
    <row r="7" spans="1:8">
      <c r="A7" s="2" t="s">
        <v>73</v>
      </c>
      <c r="C7" s="16">
        <v>16876000000</v>
      </c>
      <c r="D7" s="16">
        <v>2486000000</v>
      </c>
      <c r="E7" s="16">
        <v>9582000000</v>
      </c>
      <c r="F7" s="16">
        <v>18483000000</v>
      </c>
    </row>
    <row r="8" spans="1:8">
      <c r="A8" s="2" t="s">
        <v>74</v>
      </c>
      <c r="C8" s="3">
        <v>0.548670264646596</v>
      </c>
      <c r="D8" s="3">
        <v>0.15997425997426</v>
      </c>
      <c r="E8" s="3">
        <v>0.3815857592290232</v>
      </c>
      <c r="F8" s="3">
        <v>0.4944887366900316</v>
      </c>
    </row>
    <row r="9" spans="1:8">
      <c r="A9" s="2" t="s">
        <v>75</v>
      </c>
      <c r="C9" s="16">
        <v>9760000000</v>
      </c>
      <c r="D9" s="16">
        <v>-5270000000</v>
      </c>
      <c r="E9" s="16">
        <v>1802000000</v>
      </c>
      <c r="F9" s="16">
        <v>10131000000</v>
      </c>
    </row>
    <row r="10" spans="1:8">
      <c r="A10" s="2" t="s">
        <v>76</v>
      </c>
      <c r="C10" s="3">
        <v>0.3173158202744001</v>
      </c>
      <c r="D10" s="3">
        <v>-0.3391248391248392</v>
      </c>
      <c r="E10" s="3">
        <v>0.07176137947513042</v>
      </c>
      <c r="F10" s="3">
        <v>0.2710417892878164</v>
      </c>
    </row>
    <row r="11" spans="1:8">
      <c r="A11" s="2" t="s">
        <v>77</v>
      </c>
      <c r="C11" s="16">
        <v>7116000000</v>
      </c>
      <c r="D11" s="16">
        <v>7756000000</v>
      </c>
      <c r="E11" s="16">
        <v>7780000000</v>
      </c>
      <c r="F11" s="16">
        <v>8352000000</v>
      </c>
    </row>
    <row r="12" spans="1:8">
      <c r="A12" s="2" t="s">
        <v>43</v>
      </c>
      <c r="C12" s="3">
        <v>0.2313544443721959</v>
      </c>
      <c r="D12" s="3">
        <v>0.4990990990990991</v>
      </c>
      <c r="E12" s="3">
        <v>0.3098243797538927</v>
      </c>
      <c r="F12" s="3">
        <v>0.2234469474022152</v>
      </c>
    </row>
    <row r="13" spans="1:8">
      <c r="A13" s="2" t="s">
        <v>78</v>
      </c>
      <c r="C13" s="16">
        <v>8687000000</v>
      </c>
      <c r="D13" s="16">
        <v>-5833000000</v>
      </c>
      <c r="E13" s="16">
        <v>778000000</v>
      </c>
      <c r="F13" s="16">
        <v>8539000000</v>
      </c>
    </row>
    <row r="14" spans="1:8">
      <c r="A14" s="2" t="s">
        <v>79</v>
      </c>
      <c r="C14" s="3">
        <v>0.282430587164315</v>
      </c>
      <c r="D14" s="3">
        <v>-0.3753539253539254</v>
      </c>
      <c r="E14" s="3">
        <v>0.03098243797538927</v>
      </c>
      <c r="F14" s="3">
        <v>0.2284498903098079</v>
      </c>
    </row>
    <row r="15" spans="1:8">
      <c r="A15" s="2" t="s">
        <v>80</v>
      </c>
      <c r="C15" s="16">
        <v>7.75</v>
      </c>
      <c r="D15" s="16">
        <v>-5.34</v>
      </c>
      <c r="E15" s="16">
        <v>0.7</v>
      </c>
      <c r="F15" s="16">
        <v>7.59</v>
      </c>
    </row>
    <row r="16" spans="1:8">
      <c r="A16" s="2" t="s">
        <v>81</v>
      </c>
      <c r="C16" s="16">
        <v>12067000000</v>
      </c>
      <c r="D16" s="16">
        <v>7676000000</v>
      </c>
      <c r="E16" s="16">
        <v>8386000000</v>
      </c>
      <c r="F16" s="16">
        <v>15857000000</v>
      </c>
    </row>
    <row r="17" spans="1:6">
      <c r="A17" s="2" t="s">
        <v>44</v>
      </c>
      <c r="C17" s="3">
        <v>0.3923206970544248</v>
      </c>
      <c r="D17" s="3">
        <v>0.4939510939510939</v>
      </c>
      <c r="E17" s="3">
        <v>0.3339572298992474</v>
      </c>
      <c r="F17" s="3">
        <v>0.4242335063406281</v>
      </c>
    </row>
    <row r="18" spans="1:6">
      <c r="A18" s="2" t="s">
        <v>82</v>
      </c>
      <c r="C18" s="16">
        <v>15181000000</v>
      </c>
      <c r="D18" s="16">
        <v>1559000000</v>
      </c>
      <c r="E18" s="16">
        <v>8507000000</v>
      </c>
      <c r="F18" s="16">
        <v>17525000000</v>
      </c>
    </row>
    <row r="19" spans="1:6">
      <c r="A19" s="2" t="s">
        <v>83</v>
      </c>
      <c r="C19" s="3">
        <v>0.4935626503673841</v>
      </c>
      <c r="D19" s="3">
        <v>0.1003217503217503</v>
      </c>
      <c r="E19" s="3">
        <v>0.3387758352913066</v>
      </c>
      <c r="F19" s="3">
        <v>0.4688586869281395</v>
      </c>
    </row>
    <row r="20" spans="1:6">
      <c r="A20" s="2" t="s">
        <v>84</v>
      </c>
      <c r="C20" s="16">
        <v>3114000000</v>
      </c>
      <c r="D20" s="16">
        <v>-6117000000</v>
      </c>
      <c r="E20" s="16">
        <v>121000000</v>
      </c>
      <c r="F20" s="16">
        <v>1668000000</v>
      </c>
    </row>
    <row r="21" spans="1:6">
      <c r="A21" s="2" t="s">
        <v>85</v>
      </c>
      <c r="C21" s="3">
        <v>0.1012419533129592</v>
      </c>
      <c r="D21" s="3">
        <v>-0.3936293436293437</v>
      </c>
      <c r="E21" s="3">
        <v>0.004818605392059257</v>
      </c>
      <c r="F21" s="3">
        <v>0.04462518058751137</v>
      </c>
    </row>
    <row r="22" spans="1:6">
      <c r="A22" s="2" t="s">
        <v>86</v>
      </c>
      <c r="C22" s="16">
        <v>7516000000</v>
      </c>
      <c r="D22" s="16">
        <v>13933000000</v>
      </c>
      <c r="E22" s="16">
        <v>14007000000</v>
      </c>
      <c r="F22" s="16">
        <v>15278000000</v>
      </c>
    </row>
    <row r="23" spans="1:6">
      <c r="A23" s="2" t="s">
        <v>87</v>
      </c>
      <c r="C23" s="16">
        <v>8262000000</v>
      </c>
      <c r="D23" s="16">
        <v>8577000000</v>
      </c>
      <c r="E23" s="16">
        <v>7041000000</v>
      </c>
      <c r="F23" s="16">
        <v>9642000000</v>
      </c>
    </row>
    <row r="24" spans="1:6">
      <c r="A24" s="2" t="s">
        <v>88</v>
      </c>
      <c r="C24" s="16">
        <v>-746000000</v>
      </c>
      <c r="D24" s="16">
        <v>5356000000</v>
      </c>
      <c r="E24" s="16">
        <v>6966000000</v>
      </c>
      <c r="F24" s="16">
        <v>5636000000</v>
      </c>
    </row>
    <row r="25" spans="1:6">
      <c r="A25" s="2" t="s">
        <v>89</v>
      </c>
      <c r="C25" s="16">
        <v>-0.04420478786442285</v>
      </c>
      <c r="D25" s="16">
        <v>2.154465004022526</v>
      </c>
      <c r="E25" s="16">
        <v>0.7269881026925485</v>
      </c>
      <c r="F25" s="16">
        <v>0.3049288535410918</v>
      </c>
    </row>
    <row r="26" spans="1:6">
      <c r="A26" s="2" t="s">
        <v>90</v>
      </c>
      <c r="C26" s="16">
        <v>49907000000</v>
      </c>
      <c r="D26" s="16">
        <v>44120000000</v>
      </c>
      <c r="E26" s="16">
        <v>45131000000</v>
      </c>
      <c r="F26" s="16">
        <v>54165000000</v>
      </c>
    </row>
    <row r="27" spans="1:6">
      <c r="A27" s="2" t="s">
        <v>91</v>
      </c>
      <c r="D27" s="3">
        <v>-0.1240707456368915</v>
      </c>
      <c r="E27" s="3">
        <v>0.017433978330775</v>
      </c>
      <c r="F27" s="3">
        <v>0.1719908153399936</v>
      </c>
    </row>
    <row r="28" spans="1:6">
      <c r="A28" s="2" t="s">
        <v>92</v>
      </c>
      <c r="D28" s="3">
        <v>-0.1068564534606689</v>
      </c>
      <c r="E28" s="3">
        <v>0.02257677062389262</v>
      </c>
      <c r="F28" s="3">
        <v>0.1599932731954757</v>
      </c>
    </row>
    <row r="29" spans="1:6">
      <c r="A29" s="2" t="s">
        <v>93</v>
      </c>
      <c r="B29" s="16">
        <v>0</v>
      </c>
      <c r="C29" s="16">
        <v>9286000000</v>
      </c>
      <c r="D29" s="16">
        <v>8710000000</v>
      </c>
      <c r="E29" s="16">
        <v>11568000000</v>
      </c>
      <c r="F29" s="16">
        <v>12386000000</v>
      </c>
    </row>
    <row r="30" spans="1:6">
      <c r="A30" s="2" t="s">
        <v>94</v>
      </c>
      <c r="C30" s="3">
        <v>0.3019051953963197</v>
      </c>
      <c r="D30" s="3">
        <v>0.5604890604890604</v>
      </c>
      <c r="E30" s="3">
        <v>0.4606746047548883</v>
      </c>
      <c r="F30" s="3">
        <v>0.3313713949381989</v>
      </c>
    </row>
  </sheetData>
  <mergeCells count="1">
    <mergeCell ref="A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C22"/>
  <sheetViews>
    <sheetView workbookViewId="0"/>
  </sheetViews>
  <sheetFormatPr defaultRowHeight="15"/>
  <cols>
    <col min="1" max="1" width="36.7109375" customWidth="1"/>
    <col min="2" max="2" width="18.7109375" customWidth="1"/>
    <col min="3" max="3" width="60.7109375" customWidth="1"/>
  </cols>
  <sheetData>
    <row r="1" spans="1:3">
      <c r="A1" s="10" t="s">
        <v>95</v>
      </c>
      <c r="B1" s="10"/>
      <c r="C1" s="10"/>
    </row>
    <row r="3" spans="1:3">
      <c r="A3" s="2" t="s">
        <v>13</v>
      </c>
      <c r="B3" t="s">
        <v>14</v>
      </c>
    </row>
    <row r="4" spans="1:3">
      <c r="A4" s="2" t="s">
        <v>15</v>
      </c>
      <c r="B4" s="3">
        <v>0.8606069336826899</v>
      </c>
    </row>
    <row r="5" spans="1:3">
      <c r="A5" s="2" t="s">
        <v>16</v>
      </c>
      <c r="B5" s="3">
        <v>0.4944887366900316</v>
      </c>
    </row>
    <row r="6" spans="1:3">
      <c r="A6" s="2" t="s">
        <v>17</v>
      </c>
      <c r="B6" s="3">
        <v>0.548670264646596</v>
      </c>
    </row>
    <row r="7" spans="1:3">
      <c r="A7" s="2" t="s">
        <v>18</v>
      </c>
      <c r="B7" s="3">
        <v>0.15997425997426</v>
      </c>
    </row>
    <row r="8" spans="1:3">
      <c r="A8" s="2" t="s">
        <v>96</v>
      </c>
      <c r="B8" s="3">
        <v>0.4380372479595274</v>
      </c>
    </row>
    <row r="9" spans="1:3">
      <c r="A9" s="2" t="s">
        <v>97</v>
      </c>
      <c r="B9" s="3">
        <v>0.3961797551349777</v>
      </c>
    </row>
    <row r="10" spans="1:3">
      <c r="A10" s="2" t="s">
        <v>98</v>
      </c>
      <c r="B10" s="17">
        <v>4</v>
      </c>
    </row>
    <row r="12" spans="1:3">
      <c r="A12" s="4" t="s">
        <v>99</v>
      </c>
      <c r="B12" s="4"/>
      <c r="C12" s="4"/>
    </row>
    <row r="13" spans="1:3">
      <c r="A13" s="2" t="s">
        <v>11</v>
      </c>
      <c r="B13" t="s">
        <v>12</v>
      </c>
    </row>
    <row r="14" spans="1:3">
      <c r="A14" s="2" t="s">
        <v>100</v>
      </c>
      <c r="B14" s="17">
        <v>5</v>
      </c>
    </row>
    <row r="16" spans="1:3">
      <c r="A16" s="4" t="s">
        <v>101</v>
      </c>
      <c r="B16" s="4"/>
      <c r="C16" s="4"/>
    </row>
    <row r="17" spans="1:3">
      <c r="A17" s="9" t="s">
        <v>102</v>
      </c>
      <c r="B17" s="9"/>
      <c r="C17" s="9"/>
    </row>
    <row r="18" spans="1:3">
      <c r="A18" s="9"/>
      <c r="B18" s="9"/>
      <c r="C18" s="9"/>
    </row>
    <row r="19" spans="1:3">
      <c r="A19" s="9"/>
      <c r="B19" s="9"/>
      <c r="C19" s="9"/>
    </row>
    <row r="20" spans="1:3">
      <c r="A20" s="9"/>
      <c r="B20" s="9"/>
      <c r="C20" s="9"/>
    </row>
    <row r="21" spans="1:3">
      <c r="A21" s="9"/>
      <c r="B21" s="9"/>
      <c r="C21" s="9"/>
    </row>
    <row r="22" spans="1:3">
      <c r="A22" s="9"/>
      <c r="B22" s="9"/>
      <c r="C22" s="9"/>
    </row>
  </sheetData>
  <mergeCells count="4">
    <mergeCell ref="A1:C1"/>
    <mergeCell ref="A12:C12"/>
    <mergeCell ref="A16:C16"/>
    <mergeCell ref="A17:C22"/>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G13"/>
  <sheetViews>
    <sheetView workbookViewId="0"/>
  </sheetViews>
  <sheetFormatPr defaultRowHeight="15"/>
  <cols>
    <col min="1" max="1" width="32.7109375" customWidth="1"/>
    <col min="2" max="7" width="16.7109375" customWidth="1"/>
  </cols>
  <sheetData>
    <row r="1" spans="1:7">
      <c r="A1" s="10" t="s">
        <v>103</v>
      </c>
      <c r="B1" s="10"/>
      <c r="C1" s="10"/>
      <c r="D1" s="10"/>
      <c r="E1" s="10"/>
      <c r="F1" s="10"/>
      <c r="G1" s="10"/>
    </row>
    <row r="2" spans="1:7">
      <c r="A2" s="15" t="s">
        <v>64</v>
      </c>
      <c r="B2" s="15" t="s">
        <v>104</v>
      </c>
      <c r="C2" s="15" t="s">
        <v>105</v>
      </c>
      <c r="D2" s="15" t="s">
        <v>106</v>
      </c>
      <c r="E2" s="15" t="s">
        <v>107</v>
      </c>
      <c r="F2" s="15" t="s">
        <v>108</v>
      </c>
      <c r="G2" s="15" t="s">
        <v>109</v>
      </c>
    </row>
    <row r="3" spans="1:7">
      <c r="A3" s="2" t="s">
        <v>69</v>
      </c>
      <c r="B3" s="16">
        <v>37378000000</v>
      </c>
      <c r="C3" s="16">
        <f>B3*(1+ib_grw1)</f>
        <v>0</v>
      </c>
      <c r="D3" s="16">
        <f>C3*(1+ib_grw2)</f>
        <v>0</v>
      </c>
      <c r="E3" s="16">
        <f>D3*(1+ib_grw3)</f>
        <v>0</v>
      </c>
      <c r="F3" s="16">
        <f>E3*(1+ib_grw4)</f>
        <v>0</v>
      </c>
      <c r="G3" s="16">
        <f>F3*(1+ib_grw5)</f>
        <v>0</v>
      </c>
    </row>
    <row r="4" spans="1:7">
      <c r="A4" s="2" t="s">
        <v>110</v>
      </c>
      <c r="C4" s="3">
        <f>ib_grw1</f>
        <v>0</v>
      </c>
      <c r="D4" s="3">
        <f>ib_grw2</f>
        <v>0</v>
      </c>
      <c r="E4" s="3">
        <f>ib_grw3</f>
        <v>0</v>
      </c>
      <c r="F4" s="3">
        <f>ib_grw4</f>
        <v>0</v>
      </c>
      <c r="G4" s="3">
        <f>ib_grw5</f>
        <v>0</v>
      </c>
    </row>
    <row r="5" spans="1:7">
      <c r="A5" s="2" t="s">
        <v>73</v>
      </c>
      <c r="C5" s="16">
        <f>C3*ib_ebmgn</f>
        <v>0</v>
      </c>
      <c r="D5" s="16">
        <f>D3*ib_ebmgn</f>
        <v>0</v>
      </c>
      <c r="E5" s="16">
        <f>E3*ib_ebmgn</f>
        <v>0</v>
      </c>
      <c r="F5" s="16">
        <f>F3*ib_ebmgn</f>
        <v>0</v>
      </c>
      <c r="G5" s="16">
        <f>G3*ib_ebmgn</f>
        <v>0</v>
      </c>
    </row>
    <row r="6" spans="1:7">
      <c r="A6" s="2" t="s">
        <v>74</v>
      </c>
      <c r="C6" s="3">
        <f>ib_ebmgn</f>
        <v>0</v>
      </c>
      <c r="D6" s="3">
        <f>ib_ebmgn</f>
        <v>0</v>
      </c>
      <c r="E6" s="3">
        <f>ib_ebmgn</f>
        <v>0</v>
      </c>
      <c r="F6" s="3">
        <f>ib_ebmgn</f>
        <v>0</v>
      </c>
      <c r="G6" s="3">
        <f>ib_ebmgn</f>
        <v>0</v>
      </c>
    </row>
    <row r="7" spans="1:7">
      <c r="A7" s="2" t="s">
        <v>77</v>
      </c>
      <c r="C7" s="16">
        <f>C3*ib_dapct</f>
        <v>0</v>
      </c>
      <c r="D7" s="16">
        <f>D3*ib_dapct</f>
        <v>0</v>
      </c>
      <c r="E7" s="16">
        <f>E3*ib_dapct</f>
        <v>0</v>
      </c>
      <c r="F7" s="16">
        <f>F3*ib_dapct</f>
        <v>0</v>
      </c>
      <c r="G7" s="16">
        <f>G3*ib_dapct</f>
        <v>0</v>
      </c>
    </row>
    <row r="8" spans="1:7">
      <c r="A8" s="2" t="s">
        <v>75</v>
      </c>
      <c r="C8" s="16">
        <f>C5-C7</f>
        <v>0</v>
      </c>
      <c r="D8" s="16">
        <f>D5-D7</f>
        <v>0</v>
      </c>
      <c r="E8" s="16">
        <f>E5-E7</f>
        <v>0</v>
      </c>
      <c r="F8" s="16">
        <f>F5-F7</f>
        <v>0</v>
      </c>
      <c r="G8" s="16">
        <f>G5-G7</f>
        <v>0</v>
      </c>
    </row>
    <row r="9" spans="1:7">
      <c r="A9" s="2" t="s">
        <v>111</v>
      </c>
      <c r="C9" s="16">
        <f>C8*ib_tax</f>
        <v>0</v>
      </c>
      <c r="D9" s="16">
        <f>D8*ib_tax</f>
        <v>0</v>
      </c>
      <c r="E9" s="16">
        <f>E8*ib_tax</f>
        <v>0</v>
      </c>
      <c r="F9" s="16">
        <f>F8*ib_tax</f>
        <v>0</v>
      </c>
      <c r="G9" s="16">
        <f>G8*ib_tax</f>
        <v>0</v>
      </c>
    </row>
    <row r="10" spans="1:7">
      <c r="A10" s="2" t="s">
        <v>112</v>
      </c>
      <c r="C10" s="16">
        <f>C8-C9</f>
        <v>0</v>
      </c>
      <c r="D10" s="16">
        <f>D8-D9</f>
        <v>0</v>
      </c>
      <c r="E10" s="16">
        <f>E8-E9</f>
        <v>0</v>
      </c>
      <c r="F10" s="16">
        <f>F8-F9</f>
        <v>0</v>
      </c>
      <c r="G10" s="16">
        <f>G8-G9</f>
        <v>0</v>
      </c>
    </row>
    <row r="11" spans="1:7">
      <c r="A11" s="2" t="s">
        <v>81</v>
      </c>
      <c r="C11" s="16">
        <f>C3*ib_cxpct</f>
        <v>0</v>
      </c>
      <c r="D11" s="16">
        <f>D3*ib_cxpct</f>
        <v>0</v>
      </c>
      <c r="E11" s="16">
        <f>E3*ib_cxpct</f>
        <v>0</v>
      </c>
      <c r="F11" s="16">
        <f>F3*ib_cxpct</f>
        <v>0</v>
      </c>
      <c r="G11" s="16">
        <f>G3*ib_cxpct</f>
        <v>0</v>
      </c>
    </row>
    <row r="12" spans="1:7">
      <c r="A12" s="2" t="s">
        <v>113</v>
      </c>
      <c r="C12" s="16">
        <f>(C3-B3)*ib_nwcpct</f>
        <v>0</v>
      </c>
      <c r="D12" s="16">
        <f>(D3-C3)*ib_nwcpct</f>
        <v>0</v>
      </c>
      <c r="E12" s="16">
        <f>(E3-D3)*ib_nwcpct</f>
        <v>0</v>
      </c>
      <c r="F12" s="16">
        <f>(F3-E3)*ib_nwcpct</f>
        <v>0</v>
      </c>
      <c r="G12" s="16">
        <f>(G3-F3)*ib_nwcpct</f>
        <v>0</v>
      </c>
    </row>
    <row r="13" spans="1:7">
      <c r="A13" s="18" t="s">
        <v>114</v>
      </c>
      <c r="C13" s="16">
        <f>C10+C7-C11-C12</f>
        <v>0</v>
      </c>
      <c r="D13" s="16">
        <f>D10+D7-D11-D12</f>
        <v>0</v>
      </c>
      <c r="E13" s="16">
        <f>E10+E7-E11-E12</f>
        <v>0</v>
      </c>
      <c r="F13" s="16">
        <f>F10+F7-F11-F12</f>
        <v>0</v>
      </c>
      <c r="G13" s="16">
        <f>G10+G7-G11-G12</f>
        <v>0</v>
      </c>
    </row>
  </sheetData>
  <mergeCells count="1">
    <mergeCell ref="A1:G1"/>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H40"/>
  <sheetViews>
    <sheetView workbookViewId="0"/>
  </sheetViews>
  <sheetFormatPr defaultRowHeight="15"/>
  <cols>
    <col min="1" max="1" width="36.7109375" customWidth="1"/>
    <col min="2" max="8" width="16.7109375" customWidth="1"/>
  </cols>
  <sheetData>
    <row r="1" spans="1:8">
      <c r="A1" s="10" t="s">
        <v>115</v>
      </c>
      <c r="B1" s="10"/>
      <c r="C1" s="10"/>
      <c r="D1" s="10"/>
      <c r="E1" s="10"/>
      <c r="F1" s="10"/>
      <c r="G1" s="10"/>
      <c r="H1" s="10"/>
    </row>
    <row r="3" spans="1:8">
      <c r="A3" s="4" t="s">
        <v>116</v>
      </c>
      <c r="B3" s="4"/>
    </row>
    <row r="4" spans="1:8">
      <c r="A4" s="2" t="s">
        <v>48</v>
      </c>
      <c r="B4" s="19">
        <f>ib_rf</f>
        <v>0</v>
      </c>
    </row>
    <row r="5" spans="1:8">
      <c r="A5" s="2" t="s">
        <v>117</v>
      </c>
      <c r="B5" s="19">
        <f>ib_erp</f>
        <v>0</v>
      </c>
    </row>
    <row r="6" spans="1:8">
      <c r="A6" s="2" t="s">
        <v>118</v>
      </c>
      <c r="B6" s="5">
        <f>ib_betaT</f>
        <v>0</v>
      </c>
    </row>
    <row r="7" spans="1:8">
      <c r="A7" s="18" t="s">
        <v>119</v>
      </c>
      <c r="B7" s="19">
        <f>B4+B5*B6</f>
        <v>0</v>
      </c>
    </row>
    <row r="8" spans="1:8">
      <c r="A8" s="2" t="s">
        <v>120</v>
      </c>
      <c r="B8" s="19">
        <f>B4+ib_spread/10000</f>
        <v>0</v>
      </c>
    </row>
    <row r="9" spans="1:8">
      <c r="A9" s="2" t="s">
        <v>121</v>
      </c>
      <c r="B9" s="19">
        <f>ib_tax</f>
        <v>0</v>
      </c>
    </row>
    <row r="10" spans="1:8">
      <c r="A10" s="2" t="s">
        <v>122</v>
      </c>
      <c r="B10" s="19">
        <f>B8*(1-B9)</f>
        <v>0</v>
      </c>
    </row>
    <row r="11" spans="1:8">
      <c r="A11" s="2" t="s">
        <v>123</v>
      </c>
      <c r="B11" s="19">
        <f>ib_wd</f>
        <v>0</v>
      </c>
    </row>
    <row r="12" spans="1:8">
      <c r="A12" s="2" t="s">
        <v>124</v>
      </c>
      <c r="B12" s="19">
        <f>1-B11</f>
        <v>0</v>
      </c>
    </row>
    <row r="13" spans="1:8">
      <c r="A13" s="18" t="s">
        <v>125</v>
      </c>
      <c r="B13" s="7">
        <f>B7*B12+B10*B11</f>
        <v>0</v>
      </c>
    </row>
    <row r="15" spans="1:8">
      <c r="A15" s="15" t="s">
        <v>126</v>
      </c>
      <c r="B15" s="15">
        <v>1</v>
      </c>
      <c r="C15" s="15">
        <v>2</v>
      </c>
      <c r="D15" s="15">
        <v>3</v>
      </c>
      <c r="E15" s="15">
        <v>4</v>
      </c>
      <c r="F15" s="15">
        <v>5</v>
      </c>
    </row>
    <row r="16" spans="1:8">
      <c r="A16" s="2" t="s">
        <v>127</v>
      </c>
      <c r="B16" s="16">
        <f>Forecast!C13</f>
        <v>0</v>
      </c>
      <c r="C16" s="16">
        <f>Forecast!D13</f>
        <v>0</v>
      </c>
      <c r="D16" s="16">
        <f>Forecast!E13</f>
        <v>0</v>
      </c>
      <c r="E16" s="16">
        <f>Forecast!F13</f>
        <v>0</v>
      </c>
      <c r="F16" s="16">
        <f>Forecast!G13</f>
        <v>0</v>
      </c>
    </row>
    <row r="17" spans="1:6">
      <c r="A17" s="2" t="s">
        <v>128</v>
      </c>
      <c r="B17" s="5">
        <f>1/(1+ib_WACC)^(1-0.5)</f>
        <v>0</v>
      </c>
      <c r="C17" s="5">
        <f>1/(1+ib_WACC)^(2-0.5)</f>
        <v>0</v>
      </c>
      <c r="D17" s="5">
        <f>1/(1+ib_WACC)^(3-0.5)</f>
        <v>0</v>
      </c>
      <c r="E17" s="5">
        <f>1/(1+ib_WACC)^(4-0.5)</f>
        <v>0</v>
      </c>
      <c r="F17" s="5">
        <f>1/(1+ib_WACC)^(5-0.5)</f>
        <v>0</v>
      </c>
    </row>
    <row r="18" spans="1:6">
      <c r="A18" s="2" t="s">
        <v>129</v>
      </c>
      <c r="B18" s="16">
        <f>B16*B17</f>
        <v>0</v>
      </c>
      <c r="C18" s="16">
        <f>C16*C17</f>
        <v>0</v>
      </c>
      <c r="D18" s="16">
        <f>D16*D17</f>
        <v>0</v>
      </c>
      <c r="E18" s="16">
        <f>E16*E17</f>
        <v>0</v>
      </c>
      <c r="F18" s="16">
        <f>F16*F17</f>
        <v>0</v>
      </c>
    </row>
    <row r="20" spans="1:6">
      <c r="A20" s="18" t="s">
        <v>130</v>
      </c>
      <c r="B20" s="16">
        <f>SUM(B18:F18)</f>
        <v>0</v>
      </c>
    </row>
    <row r="21" spans="1:6">
      <c r="A21" s="2" t="s">
        <v>131</v>
      </c>
      <c r="B21" s="16">
        <f>F16</f>
        <v>0</v>
      </c>
    </row>
    <row r="22" spans="1:6">
      <c r="A22" s="2" t="s">
        <v>132</v>
      </c>
      <c r="B22" s="16">
        <f>B21*(1+ib_tg)/(ib_WACC-ib_tg)</f>
        <v>0</v>
      </c>
    </row>
    <row r="23" spans="1:6">
      <c r="A23" s="2" t="s">
        <v>133</v>
      </c>
      <c r="B23" s="16">
        <f>ib_EBDA5*ib_exitm</f>
        <v>0</v>
      </c>
    </row>
    <row r="24" spans="1:6">
      <c r="A24" s="18" t="s">
        <v>134</v>
      </c>
      <c r="B24" s="16">
        <f>AVERAGE(B22,B23)</f>
        <v>0</v>
      </c>
    </row>
    <row r="25" spans="1:6">
      <c r="A25" s="2" t="s">
        <v>135</v>
      </c>
      <c r="B25" s="16">
        <f>B24*F17</f>
        <v>0</v>
      </c>
    </row>
    <row r="26" spans="1:6">
      <c r="A26" s="18" t="s">
        <v>136</v>
      </c>
      <c r="B26" s="16">
        <f>B20+B25</f>
        <v>0</v>
      </c>
    </row>
    <row r="27" spans="1:6">
      <c r="A27" s="2" t="s">
        <v>137</v>
      </c>
      <c r="B27" s="16">
        <f>ib_netdebt</f>
        <v>0</v>
      </c>
    </row>
    <row r="28" spans="1:6">
      <c r="A28" s="18" t="s">
        <v>138</v>
      </c>
      <c r="B28" s="16">
        <f>B26-B27</f>
        <v>0</v>
      </c>
    </row>
    <row r="29" spans="1:6">
      <c r="A29" s="2" t="s">
        <v>139</v>
      </c>
      <c r="B29" s="17">
        <f>ib_shares</f>
        <v>0</v>
      </c>
    </row>
    <row r="30" spans="1:6">
      <c r="A30" s="18" t="s">
        <v>140</v>
      </c>
      <c r="B30" s="6">
        <f>B28/B29</f>
        <v>0</v>
      </c>
    </row>
    <row r="31" spans="1:6">
      <c r="A31" s="2" t="s">
        <v>141</v>
      </c>
      <c r="B31" s="5">
        <f>ib_px</f>
        <v>0</v>
      </c>
    </row>
    <row r="32" spans="1:6">
      <c r="A32" s="18" t="s">
        <v>142</v>
      </c>
      <c r="B32" s="7">
        <f>B30/B31-1</f>
        <v>0</v>
      </c>
    </row>
    <row r="33" spans="1:2">
      <c r="A33" s="2" t="s">
        <v>143</v>
      </c>
      <c r="B33" s="3">
        <f>B25/B26</f>
        <v>0</v>
      </c>
    </row>
    <row r="40" spans="1:2">
      <c r="A40" s="18" t="s">
        <v>144</v>
      </c>
      <c r="B40" s="6">
        <f>B30</f>
        <v>0</v>
      </c>
    </row>
  </sheetData>
  <mergeCells count="2">
    <mergeCell ref="A1:H1"/>
    <mergeCell ref="A3:B3"/>
  </mergeCell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H41"/>
  <sheetViews>
    <sheetView workbookViewId="0"/>
  </sheetViews>
  <sheetFormatPr defaultRowHeight="15"/>
  <cols>
    <col min="1" max="1" width="38.7109375" customWidth="1"/>
    <col min="2" max="8" width="16.7109375" customWidth="1"/>
  </cols>
  <sheetData>
    <row r="1" spans="1:8">
      <c r="A1" s="10" t="s">
        <v>145</v>
      </c>
      <c r="B1" s="10"/>
      <c r="C1" s="10"/>
      <c r="D1" s="10"/>
      <c r="E1" s="10"/>
      <c r="F1" s="10"/>
      <c r="G1" s="10"/>
      <c r="H1" s="10"/>
    </row>
    <row r="3" spans="1:8">
      <c r="A3" s="4" t="s">
        <v>146</v>
      </c>
      <c r="B3" s="4"/>
      <c r="C3" s="4"/>
    </row>
    <row r="4" spans="1:8">
      <c r="A4" s="15" t="s">
        <v>147</v>
      </c>
      <c r="B4" s="15" t="s">
        <v>148</v>
      </c>
      <c r="C4" s="15" t="s">
        <v>149</v>
      </c>
    </row>
    <row r="5" spans="1:8">
      <c r="A5" s="2" t="s">
        <v>150</v>
      </c>
      <c r="B5" s="16">
        <f>ib_EBDA1*ib_leverage</f>
        <v>0</v>
      </c>
      <c r="C5" s="3">
        <f>B5/B7</f>
        <v>0</v>
      </c>
    </row>
    <row r="6" spans="1:8">
      <c r="A6" s="2" t="s">
        <v>151</v>
      </c>
      <c r="B6" s="16">
        <f>B12-B5+B11</f>
        <v>0</v>
      </c>
      <c r="C6" s="3">
        <f>B6/B7</f>
        <v>0</v>
      </c>
    </row>
    <row r="7" spans="1:8">
      <c r="A7" s="18" t="s">
        <v>152</v>
      </c>
      <c r="B7" s="16">
        <f>B5+B6</f>
        <v>0</v>
      </c>
      <c r="C7" s="3">
        <f>1</f>
        <v>0</v>
      </c>
    </row>
    <row r="9" spans="1:8">
      <c r="A9" s="4" t="s">
        <v>153</v>
      </c>
      <c r="B9" s="4"/>
      <c r="C9" s="4"/>
    </row>
    <row r="10" spans="1:8">
      <c r="A10" s="15" t="s">
        <v>154</v>
      </c>
      <c r="B10" s="15" t="s">
        <v>148</v>
      </c>
      <c r="C10" s="15"/>
    </row>
    <row r="11" spans="1:8">
      <c r="A11" s="2" t="s">
        <v>155</v>
      </c>
      <c r="B11" s="16">
        <f>B12*0.02</f>
        <v>0</v>
      </c>
    </row>
    <row r="12" spans="1:8">
      <c r="A12" s="2" t="s">
        <v>156</v>
      </c>
      <c r="B12" s="16">
        <f>ib_EBDA1*ib_entrym</f>
        <v>0</v>
      </c>
    </row>
    <row r="13" spans="1:8">
      <c r="A13" s="18" t="s">
        <v>157</v>
      </c>
      <c r="B13" s="16">
        <f>B11+B12</f>
        <v>0</v>
      </c>
    </row>
    <row r="15" spans="1:8">
      <c r="A15" s="4" t="s">
        <v>158</v>
      </c>
      <c r="B15" s="4"/>
      <c r="C15" s="4"/>
      <c r="D15" s="4"/>
      <c r="E15" s="4"/>
      <c r="F15" s="4"/>
      <c r="G15" s="4"/>
    </row>
    <row r="16" spans="1:8">
      <c r="A16" s="15" t="s">
        <v>126</v>
      </c>
      <c r="B16" s="15" t="s">
        <v>159</v>
      </c>
      <c r="C16" s="15" t="s">
        <v>160</v>
      </c>
      <c r="D16" s="15" t="s">
        <v>161</v>
      </c>
      <c r="E16" s="15" t="s">
        <v>162</v>
      </c>
      <c r="F16" s="15" t="s">
        <v>163</v>
      </c>
    </row>
    <row r="17" spans="1:6">
      <c r="A17" s="2" t="s">
        <v>164</v>
      </c>
      <c r="B17" s="16">
        <f>B5</f>
        <v>0</v>
      </c>
      <c r="C17" s="16">
        <f>B26</f>
        <v>0</v>
      </c>
      <c r="D17" s="16">
        <f>C26</f>
        <v>0</v>
      </c>
      <c r="E17" s="16">
        <f>D26</f>
        <v>0</v>
      </c>
      <c r="F17" s="16">
        <f>E26</f>
        <v>0</v>
      </c>
    </row>
    <row r="18" spans="1:6">
      <c r="A18" s="2" t="s">
        <v>165</v>
      </c>
      <c r="B18" s="16">
        <f>B17*0.01</f>
        <v>0</v>
      </c>
      <c r="C18" s="16">
        <f>C17*0.01</f>
        <v>0</v>
      </c>
      <c r="D18" s="16">
        <f>D17*0.01</f>
        <v>0</v>
      </c>
      <c r="E18" s="16">
        <f>E17*0.01</f>
        <v>0</v>
      </c>
      <c r="F18" s="16">
        <f>F17*0.01</f>
        <v>0</v>
      </c>
    </row>
    <row r="19" spans="1:6">
      <c r="A19" s="2" t="s">
        <v>166</v>
      </c>
      <c r="B19" s="16">
        <f>B17*ib_kdLBO</f>
        <v>0</v>
      </c>
      <c r="C19" s="16">
        <f>C17*ib_kdLBO</f>
        <v>0</v>
      </c>
      <c r="D19" s="16">
        <f>D17*ib_kdLBO</f>
        <v>0</v>
      </c>
      <c r="E19" s="16">
        <f>E17*ib_kdLBO</f>
        <v>0</v>
      </c>
      <c r="F19" s="16">
        <f>F17*ib_kdLBO</f>
        <v>0</v>
      </c>
    </row>
    <row r="20" spans="1:6">
      <c r="A20" s="2" t="s">
        <v>73</v>
      </c>
      <c r="B20" s="16">
        <f>Forecast!C5</f>
        <v>0</v>
      </c>
      <c r="C20" s="16">
        <f>Forecast!D5</f>
        <v>0</v>
      </c>
      <c r="D20" s="16">
        <f>Forecast!E5</f>
        <v>0</v>
      </c>
      <c r="E20" s="16">
        <f>Forecast!F5</f>
        <v>0</v>
      </c>
      <c r="F20" s="16">
        <f>Forecast!G5</f>
        <v>0</v>
      </c>
    </row>
    <row r="21" spans="1:6">
      <c r="A21" s="2" t="s">
        <v>167</v>
      </c>
      <c r="B21" s="16">
        <f>(Forecast!C8-B19)*ib_tax</f>
        <v>0</v>
      </c>
      <c r="C21" s="16">
        <f>(Forecast!D8-C19)*ib_tax</f>
        <v>0</v>
      </c>
      <c r="D21" s="16">
        <f>(Forecast!E8-D19)*ib_tax</f>
        <v>0</v>
      </c>
      <c r="E21" s="16">
        <f>(Forecast!F8-E19)*ib_tax</f>
        <v>0</v>
      </c>
      <c r="F21" s="16">
        <f>(Forecast!G8-F19)*ib_tax</f>
        <v>0</v>
      </c>
    </row>
    <row r="22" spans="1:6">
      <c r="A22" s="2" t="s">
        <v>168</v>
      </c>
      <c r="B22" s="16">
        <f>Forecast!C11</f>
        <v>0</v>
      </c>
      <c r="C22" s="16">
        <f>Forecast!D11</f>
        <v>0</v>
      </c>
      <c r="D22" s="16">
        <f>Forecast!E11</f>
        <v>0</v>
      </c>
      <c r="E22" s="16">
        <f>Forecast!F11</f>
        <v>0</v>
      </c>
      <c r="F22" s="16">
        <f>Forecast!G11</f>
        <v>0</v>
      </c>
    </row>
    <row r="23" spans="1:6">
      <c r="A23" s="2" t="s">
        <v>169</v>
      </c>
      <c r="B23" s="16">
        <f>Forecast!C12</f>
        <v>0</v>
      </c>
      <c r="C23" s="16">
        <f>Forecast!D12</f>
        <v>0</v>
      </c>
      <c r="D23" s="16">
        <f>Forecast!E12</f>
        <v>0</v>
      </c>
      <c r="E23" s="16">
        <f>Forecast!F12</f>
        <v>0</v>
      </c>
      <c r="F23" s="16">
        <f>Forecast!G12</f>
        <v>0</v>
      </c>
    </row>
    <row r="24" spans="1:6">
      <c r="A24" s="2" t="s">
        <v>170</v>
      </c>
      <c r="B24" s="16">
        <f>B20-B19-MAX(0,B21)-B22-B23</f>
        <v>0</v>
      </c>
      <c r="C24" s="16">
        <f>C20-C19-MAX(0,C21)-C22-C23</f>
        <v>0</v>
      </c>
      <c r="D24" s="16">
        <f>D20-D19-MAX(0,D21)-D22-D23</f>
        <v>0</v>
      </c>
      <c r="E24" s="16">
        <f>E20-E19-MAX(0,E21)-E22-E23</f>
        <v>0</v>
      </c>
      <c r="F24" s="16">
        <f>F20-F19-MAX(0,F21)-F22-F23</f>
        <v>0</v>
      </c>
    </row>
    <row r="25" spans="1:6">
      <c r="A25" s="2" t="s">
        <v>171</v>
      </c>
      <c r="B25" s="16">
        <f>MIN(MAX(0,(B24-B18))*ib_sweep,MAX(0,B17-B18))</f>
        <v>0</v>
      </c>
      <c r="C25" s="16">
        <f>MIN(MAX(0,(C24-C18))*ib_sweep,MAX(0,C17-C18))</f>
        <v>0</v>
      </c>
      <c r="D25" s="16">
        <f>MIN(MAX(0,(D24-D18))*ib_sweep,MAX(0,D17-D18))</f>
        <v>0</v>
      </c>
      <c r="E25" s="16">
        <f>MIN(MAX(0,(E24-E18))*ib_sweep,MAX(0,E17-E18))</f>
        <v>0</v>
      </c>
      <c r="F25" s="16">
        <f>MIN(MAX(0,(F24-F18))*ib_sweep,MAX(0,F17-F18))</f>
        <v>0</v>
      </c>
    </row>
    <row r="26" spans="1:6">
      <c r="A26" s="2" t="s">
        <v>172</v>
      </c>
      <c r="B26" s="16">
        <f>B17-B18-B25</f>
        <v>0</v>
      </c>
      <c r="C26" s="16">
        <f>C17-C18-C25</f>
        <v>0</v>
      </c>
      <c r="D26" s="16">
        <f>D17-D18-D25</f>
        <v>0</v>
      </c>
      <c r="E26" s="16">
        <f>E17-E18-E25</f>
        <v>0</v>
      </c>
      <c r="F26" s="16">
        <f>F17-F18-F25</f>
        <v>0</v>
      </c>
    </row>
    <row r="27" spans="1:6">
      <c r="A27" s="2" t="s">
        <v>89</v>
      </c>
      <c r="B27" s="8">
        <f>B26/B20</f>
        <v>0</v>
      </c>
      <c r="C27" s="8">
        <f>C26/C20</f>
        <v>0</v>
      </c>
      <c r="D27" s="8">
        <f>D26/D20</f>
        <v>0</v>
      </c>
      <c r="E27" s="8">
        <f>E26/E20</f>
        <v>0</v>
      </c>
      <c r="F27" s="8">
        <f>F26/F20</f>
        <v>0</v>
      </c>
    </row>
    <row r="28" spans="1:6">
      <c r="A28" s="2" t="s">
        <v>173</v>
      </c>
      <c r="B28" s="8">
        <f>B20/B19</f>
        <v>0</v>
      </c>
      <c r="C28" s="8">
        <f>C20/C19</f>
        <v>0</v>
      </c>
      <c r="D28" s="8">
        <f>D20/D19</f>
        <v>0</v>
      </c>
      <c r="E28" s="8">
        <f>E20/E19</f>
        <v>0</v>
      </c>
      <c r="F28" s="8">
        <f>F20/F19</f>
        <v>0</v>
      </c>
    </row>
    <row r="30" spans="1:6">
      <c r="A30" s="4" t="s">
        <v>174</v>
      </c>
      <c r="B30" s="4"/>
      <c r="C30" s="4"/>
    </row>
    <row r="31" spans="1:6">
      <c r="A31" s="2" t="s">
        <v>175</v>
      </c>
      <c r="B31" s="16">
        <f>Forecast!G5</f>
        <v>0</v>
      </c>
    </row>
    <row r="32" spans="1:6">
      <c r="A32" s="2" t="s">
        <v>176</v>
      </c>
      <c r="B32" s="8">
        <f>ib_exitm</f>
        <v>0</v>
      </c>
    </row>
    <row r="33" spans="1:2">
      <c r="A33" s="18" t="s">
        <v>177</v>
      </c>
      <c r="B33" s="16">
        <f>B31*B32</f>
        <v>0</v>
      </c>
    </row>
    <row r="34" spans="1:2">
      <c r="A34" s="2" t="s">
        <v>178</v>
      </c>
      <c r="B34" s="16">
        <f>F26</f>
        <v>0</v>
      </c>
    </row>
    <row r="35" spans="1:2">
      <c r="A35" s="2" t="s">
        <v>179</v>
      </c>
      <c r="B35" s="16">
        <f>SUMPRODUCT((B24:F24-B25:F25-B18:F18&gt;0)*(B24:F24-B25:F25-B18:F18))</f>
        <v>0</v>
      </c>
    </row>
    <row r="36" spans="1:2">
      <c r="A36" s="18" t="s">
        <v>180</v>
      </c>
      <c r="B36" s="16">
        <f>B33-B34+B35</f>
        <v>0</v>
      </c>
    </row>
    <row r="37" spans="1:2">
      <c r="A37" s="2" t="s">
        <v>181</v>
      </c>
      <c r="B37" s="16">
        <f>B6</f>
        <v>0</v>
      </c>
    </row>
    <row r="38" spans="1:2">
      <c r="A38" s="18" t="s">
        <v>182</v>
      </c>
      <c r="B38" s="6">
        <f>B36/B37</f>
        <v>0</v>
      </c>
    </row>
    <row r="39" spans="1:2">
      <c r="A39" s="2" t="s">
        <v>183</v>
      </c>
      <c r="B39" s="17">
        <f>ib_hold</f>
        <v>0</v>
      </c>
    </row>
    <row r="40" spans="1:2">
      <c r="A40" s="18" t="s">
        <v>184</v>
      </c>
      <c r="B40" s="7">
        <f>B38^(1/B39)-1</f>
        <v>0</v>
      </c>
    </row>
    <row r="41" spans="1:2">
      <c r="A41" s="18" t="s">
        <v>185</v>
      </c>
      <c r="B41" s="6">
        <f>B38</f>
        <v>0</v>
      </c>
    </row>
  </sheetData>
  <mergeCells count="5">
    <mergeCell ref="A1:H1"/>
    <mergeCell ref="A3:C3"/>
    <mergeCell ref="A9:C9"/>
    <mergeCell ref="A15:G15"/>
    <mergeCell ref="A30:C30"/>
  </mergeCell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D16"/>
  <sheetViews>
    <sheetView workbookViewId="0"/>
  </sheetViews>
  <sheetFormatPr defaultRowHeight="15"/>
  <cols>
    <col min="1" max="1" width="36.7109375" customWidth="1"/>
    <col min="2" max="4" width="18.7109375" customWidth="1"/>
  </cols>
  <sheetData>
    <row r="1" spans="1:4">
      <c r="A1" s="10" t="s">
        <v>186</v>
      </c>
      <c r="B1" s="10"/>
      <c r="C1" s="10"/>
      <c r="D1" s="10"/>
    </row>
    <row r="3" spans="1:4">
      <c r="A3" s="4" t="s">
        <v>187</v>
      </c>
      <c r="B3" s="4"/>
      <c r="C3" s="4"/>
      <c r="D3" s="4"/>
    </row>
    <row r="4" spans="1:4">
      <c r="A4" s="15" t="s">
        <v>188</v>
      </c>
      <c r="B4" s="15" t="s">
        <v>189</v>
      </c>
      <c r="C4" s="15" t="s">
        <v>190</v>
      </c>
      <c r="D4" s="15" t="s">
        <v>191</v>
      </c>
    </row>
    <row r="5" spans="1:4">
      <c r="A5" s="2" t="s">
        <v>192</v>
      </c>
      <c r="B5" s="16">
        <v>131775523297.5819</v>
      </c>
      <c r="C5" s="3">
        <v>1.277072869378526</v>
      </c>
      <c r="D5" s="9">
        <f> (Exit EBITDA − Entry EBITDA) × Entry Multiple</f>
        <v>0</v>
      </c>
    </row>
    <row r="6" spans="1:4">
      <c r="A6" s="2" t="s">
        <v>193</v>
      </c>
      <c r="B6" s="16">
        <v>-38298651104.62621</v>
      </c>
      <c r="C6" s="3">
        <v>-0.3711627701076224</v>
      </c>
      <c r="D6" s="9">
        <f> Exit EBITDA × (Exit Mult − Entry Mult)</f>
        <v>0</v>
      </c>
    </row>
    <row r="7" spans="1:4">
      <c r="A7" s="2" t="s">
        <v>194</v>
      </c>
      <c r="B7" s="16">
        <v>9708722346.93074</v>
      </c>
      <c r="C7" s="3">
        <v>0.0940899007290967</v>
      </c>
      <c r="D7" s="9">
        <f> ΔDebt + retained cash + recaps</f>
        <v>0</v>
      </c>
    </row>
    <row r="8" spans="1:4">
      <c r="A8" s="18" t="s">
        <v>195</v>
      </c>
      <c r="B8" s="16">
        <v>103185594539.8865</v>
      </c>
      <c r="C8" s="3">
        <v>1</v>
      </c>
      <c r="D8" s="9" t="s">
        <v>196</v>
      </c>
    </row>
    <row r="11" spans="1:4">
      <c r="A11" s="4" t="s">
        <v>101</v>
      </c>
      <c r="B11" s="4"/>
      <c r="C11" s="4"/>
      <c r="D11" s="4"/>
    </row>
    <row r="12" spans="1:4">
      <c r="A12" s="9" t="s">
        <v>197</v>
      </c>
      <c r="B12" s="9"/>
      <c r="C12" s="9"/>
      <c r="D12" s="9"/>
    </row>
    <row r="13" spans="1:4">
      <c r="A13" s="9"/>
      <c r="B13" s="9"/>
      <c r="C13" s="9"/>
      <c r="D13" s="9"/>
    </row>
    <row r="14" spans="1:4">
      <c r="A14" s="9"/>
      <c r="B14" s="9"/>
      <c r="C14" s="9"/>
      <c r="D14" s="9"/>
    </row>
    <row r="15" spans="1:4">
      <c r="A15" s="9"/>
      <c r="B15" s="9"/>
      <c r="C15" s="9"/>
      <c r="D15" s="9"/>
    </row>
    <row r="16" spans="1:4">
      <c r="A16" s="9"/>
      <c r="B16" s="9"/>
      <c r="C16" s="9"/>
      <c r="D16" s="9"/>
    </row>
  </sheetData>
  <mergeCells count="4">
    <mergeCell ref="A1:D1"/>
    <mergeCell ref="A3:D3"/>
    <mergeCell ref="A11:D11"/>
    <mergeCell ref="A12:D16"/>
  </mergeCell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S28"/>
  <sheetViews>
    <sheetView workbookViewId="0"/>
  </sheetViews>
  <sheetFormatPr defaultRowHeight="15"/>
  <cols>
    <col min="1" max="1" width="22.7109375" customWidth="1"/>
    <col min="2" max="26" width="14.7109375" customWidth="1"/>
  </cols>
  <sheetData>
    <row r="1" spans="1:19">
      <c r="A1" s="10" t="s">
        <v>198</v>
      </c>
      <c r="B1" s="10"/>
      <c r="C1" s="10"/>
      <c r="D1" s="10"/>
      <c r="E1" s="10"/>
      <c r="F1" s="10"/>
      <c r="G1" s="10"/>
      <c r="H1" s="10"/>
      <c r="I1" s="10"/>
      <c r="J1" s="10"/>
      <c r="K1" s="10"/>
      <c r="L1" s="10"/>
      <c r="M1" s="10"/>
    </row>
    <row r="3" spans="1:19">
      <c r="A3" s="15" t="s">
        <v>29</v>
      </c>
      <c r="B3" s="15" t="s">
        <v>199</v>
      </c>
      <c r="C3" s="15" t="s">
        <v>200</v>
      </c>
      <c r="D3" s="15" t="s">
        <v>201</v>
      </c>
      <c r="E3" s="15" t="s">
        <v>202</v>
      </c>
      <c r="F3" s="15" t="s">
        <v>203</v>
      </c>
      <c r="G3" s="15" t="s">
        <v>136</v>
      </c>
      <c r="H3" s="15" t="s">
        <v>204</v>
      </c>
      <c r="I3" s="15" t="s">
        <v>205</v>
      </c>
      <c r="J3" s="15" t="s">
        <v>206</v>
      </c>
      <c r="K3" s="15" t="s">
        <v>207</v>
      </c>
      <c r="L3" s="15" t="s">
        <v>208</v>
      </c>
      <c r="M3" s="15" t="s">
        <v>209</v>
      </c>
      <c r="N3" s="15" t="s">
        <v>210</v>
      </c>
      <c r="O3" s="15" t="s">
        <v>211</v>
      </c>
      <c r="P3" s="15" t="s">
        <v>212</v>
      </c>
      <c r="Q3" s="15" t="s">
        <v>213</v>
      </c>
      <c r="R3" s="15" t="s">
        <v>214</v>
      </c>
      <c r="S3" s="15" t="s">
        <v>215</v>
      </c>
    </row>
    <row r="4" spans="1:19">
      <c r="A4" t="s">
        <v>30</v>
      </c>
      <c r="B4" t="s">
        <v>216</v>
      </c>
      <c r="C4" t="s">
        <v>217</v>
      </c>
      <c r="D4" t="s">
        <v>218</v>
      </c>
      <c r="E4" s="16">
        <v>646.63</v>
      </c>
      <c r="F4" s="16">
        <v>729226674176</v>
      </c>
      <c r="G4" s="16">
        <v>725435678720</v>
      </c>
      <c r="H4" s="16">
        <v>37378000000</v>
      </c>
      <c r="I4" s="16">
        <v>17511000000</v>
      </c>
      <c r="J4" s="16">
        <v>8539000000</v>
      </c>
      <c r="K4" s="16">
        <v>7.59</v>
      </c>
      <c r="L4" s="16">
        <v>101.7821</v>
      </c>
      <c r="M4" s="16">
        <v>54165000000</v>
      </c>
      <c r="N4" s="8">
        <v>19.40809242656108</v>
      </c>
      <c r="O4" s="8">
        <v>41.42742725829478</v>
      </c>
      <c r="P4" s="8">
        <v>19.711</v>
      </c>
      <c r="Q4" s="8">
        <v>85.19499341238472</v>
      </c>
      <c r="R4" s="8">
        <v>6.353082</v>
      </c>
      <c r="S4" s="8">
        <v>13.46306054049663</v>
      </c>
    </row>
    <row r="5" spans="1:19">
      <c r="A5" t="s">
        <v>219</v>
      </c>
      <c r="B5" t="s">
        <v>220</v>
      </c>
      <c r="C5" t="s">
        <v>217</v>
      </c>
      <c r="D5" t="s">
        <v>221</v>
      </c>
      <c r="E5" s="16">
        <v>463.91</v>
      </c>
      <c r="F5" s="16">
        <v>159901499392</v>
      </c>
      <c r="G5" s="16">
        <v>158388486144</v>
      </c>
      <c r="H5" s="16">
        <v>9520000000</v>
      </c>
      <c r="I5" s="16">
        <v>1673000000</v>
      </c>
      <c r="J5" s="16">
        <v>1861000000</v>
      </c>
      <c r="K5" s="16">
        <v>5.12</v>
      </c>
      <c r="L5" s="16">
        <v>17.41786</v>
      </c>
      <c r="M5" s="16">
        <v>5540000000</v>
      </c>
      <c r="N5" s="8">
        <v>16.63744602352941</v>
      </c>
      <c r="O5" s="8">
        <v>94.6733330209205</v>
      </c>
      <c r="P5" s="8">
        <v>40.323</v>
      </c>
      <c r="Q5" s="8">
        <v>90.607421875</v>
      </c>
      <c r="R5" s="8">
        <v>26.634155</v>
      </c>
      <c r="S5" s="8">
        <v>28.86308653285198</v>
      </c>
    </row>
    <row r="6" spans="1:19">
      <c r="A6" t="s">
        <v>222</v>
      </c>
      <c r="B6" t="s">
        <v>223</v>
      </c>
      <c r="C6" t="s">
        <v>217</v>
      </c>
      <c r="D6" t="s">
        <v>221</v>
      </c>
      <c r="E6" s="16">
        <v>766.4400000000001</v>
      </c>
      <c r="F6" s="16">
        <v>171858067456</v>
      </c>
      <c r="G6" s="16">
        <v>174890074112</v>
      </c>
      <c r="H6" s="16">
        <v>9097000000</v>
      </c>
      <c r="I6" s="16">
        <v>1885000000</v>
      </c>
      <c r="J6" s="16">
        <v>1469000000</v>
      </c>
      <c r="L6" s="16">
        <v>26.27305</v>
      </c>
      <c r="M6" s="16">
        <v>-453000000</v>
      </c>
      <c r="N6" s="8">
        <v>19.22502738397274</v>
      </c>
      <c r="O6" s="8">
        <v>92.77988016551724</v>
      </c>
      <c r="P6" s="8">
        <v>49.77</v>
      </c>
      <c r="R6" s="8">
        <v>29.172098</v>
      </c>
      <c r="S6" s="8">
        <v>-379.3776323532009</v>
      </c>
    </row>
    <row r="7" spans="1:19">
      <c r="A7" t="s">
        <v>224</v>
      </c>
      <c r="B7" t="s">
        <v>225</v>
      </c>
      <c r="C7" t="s">
        <v>217</v>
      </c>
      <c r="D7" t="s">
        <v>218</v>
      </c>
      <c r="E7" s="16">
        <v>211.5</v>
      </c>
      <c r="F7" s="16">
        <v>5140507525120</v>
      </c>
      <c r="G7" s="16">
        <v>5088305741824</v>
      </c>
      <c r="H7" s="16">
        <v>215938000000</v>
      </c>
      <c r="I7" s="16">
        <v>138166000000</v>
      </c>
      <c r="J7" s="16">
        <v>120067000000</v>
      </c>
      <c r="K7" s="16">
        <v>4.9</v>
      </c>
      <c r="L7" s="16">
        <v>11.28592</v>
      </c>
      <c r="M7" s="16">
        <v>157293000000</v>
      </c>
      <c r="N7" s="8">
        <v>23.56373469155035</v>
      </c>
      <c r="O7" s="8">
        <v>36.82748101431611</v>
      </c>
      <c r="P7" s="8">
        <v>38.192</v>
      </c>
      <c r="Q7" s="8">
        <v>43.16326530612245</v>
      </c>
      <c r="R7" s="8">
        <v>18.740164</v>
      </c>
      <c r="S7" s="8">
        <v>32.68109531333244</v>
      </c>
    </row>
    <row r="8" spans="1:19">
      <c r="A8" t="s">
        <v>226</v>
      </c>
      <c r="B8" t="s">
        <v>227</v>
      </c>
      <c r="C8" t="s">
        <v>217</v>
      </c>
      <c r="D8" t="s">
        <v>218</v>
      </c>
      <c r="E8" s="16">
        <v>414.15</v>
      </c>
      <c r="F8" s="16">
        <v>2147947642880</v>
      </c>
      <c r="G8" s="16">
        <v>8414051172352</v>
      </c>
      <c r="H8" s="16">
        <v>3809054300000</v>
      </c>
      <c r="I8" s="16">
        <v>2740875400000</v>
      </c>
      <c r="J8" s="16">
        <v>1697604000000</v>
      </c>
      <c r="K8" s="16">
        <v>331.25</v>
      </c>
      <c r="L8" s="16">
        <v>19.29218</v>
      </c>
      <c r="M8" s="16">
        <v>5355038700000</v>
      </c>
      <c r="N8" s="8">
        <v>2.208960678862467</v>
      </c>
      <c r="O8" s="8">
        <v>3.069840815219838</v>
      </c>
      <c r="P8" s="8">
        <v>2.946</v>
      </c>
      <c r="Q8" s="8">
        <v>1.250264150943396</v>
      </c>
      <c r="R8" s="8">
        <v>21.467249</v>
      </c>
      <c r="S8" s="8">
        <v>0.401107772177258</v>
      </c>
    </row>
    <row r="9" spans="1:19">
      <c r="A9" t="s">
        <v>228</v>
      </c>
      <c r="B9" t="s">
        <v>229</v>
      </c>
      <c r="C9" t="s">
        <v>217</v>
      </c>
      <c r="D9" t="s">
        <v>218</v>
      </c>
      <c r="E9" s="16">
        <v>412.56</v>
      </c>
      <c r="F9" s="16">
        <v>1953334689792</v>
      </c>
      <c r="G9" s="16">
        <v>2066200264704</v>
      </c>
      <c r="H9" s="16">
        <v>63887000000</v>
      </c>
      <c r="I9" s="16">
        <v>27146000000</v>
      </c>
      <c r="J9" s="16">
        <v>23126000000</v>
      </c>
      <c r="K9" s="16">
        <v>4.77</v>
      </c>
      <c r="L9" s="16">
        <v>18.11795</v>
      </c>
      <c r="M9" s="16">
        <v>81292000000</v>
      </c>
      <c r="N9" s="8">
        <v>32.34148206527149</v>
      </c>
      <c r="O9" s="8">
        <v>76.11435440595299</v>
      </c>
      <c r="P9" s="8">
        <v>55.516</v>
      </c>
      <c r="Q9" s="8">
        <v>86.49056603773586</v>
      </c>
      <c r="R9" s="8">
        <v>22.770788</v>
      </c>
      <c r="S9" s="8">
        <v>24.02862138699995</v>
      </c>
    </row>
    <row r="10" spans="1:19">
      <c r="A10" t="s">
        <v>230</v>
      </c>
      <c r="B10" t="s">
        <v>231</v>
      </c>
      <c r="C10" t="s">
        <v>217</v>
      </c>
      <c r="D10" t="s">
        <v>218</v>
      </c>
      <c r="E10" s="16">
        <v>109.62</v>
      </c>
      <c r="F10" s="16">
        <v>550950141952</v>
      </c>
      <c r="G10" s="16">
        <v>576787120128</v>
      </c>
      <c r="H10" s="16">
        <v>52853000000</v>
      </c>
      <c r="I10" s="16">
        <v>11920000000</v>
      </c>
      <c r="J10" s="16">
        <v>-267000000</v>
      </c>
      <c r="K10" s="16">
        <v>-0.06</v>
      </c>
      <c r="L10" s="16">
        <v>1.51629</v>
      </c>
      <c r="M10" s="16">
        <v>114281000000</v>
      </c>
      <c r="N10" s="8">
        <v>10.91304410587857</v>
      </c>
      <c r="O10" s="8">
        <v>48.38818121879195</v>
      </c>
      <c r="P10" s="8">
        <v>40.693</v>
      </c>
      <c r="Q10" s="8">
        <v>-1827</v>
      </c>
      <c r="R10" s="8">
        <v>72.29488000000001</v>
      </c>
      <c r="S10" s="8">
        <v>4.821012608850115</v>
      </c>
    </row>
    <row r="11" spans="1:19">
      <c r="A11" t="s">
        <v>232</v>
      </c>
      <c r="B11" t="s">
        <v>233</v>
      </c>
      <c r="C11" t="s">
        <v>217</v>
      </c>
      <c r="D11" t="s">
        <v>218</v>
      </c>
      <c r="E11" s="16">
        <v>408.46</v>
      </c>
      <c r="F11" s="16">
        <v>666035093504</v>
      </c>
      <c r="G11" s="16">
        <v>657722245120</v>
      </c>
      <c r="H11" s="16">
        <v>34639000000</v>
      </c>
      <c r="I11" s="16">
        <v>5637000000</v>
      </c>
      <c r="J11" s="16">
        <v>4335000000</v>
      </c>
      <c r="K11" s="16">
        <v>2.65</v>
      </c>
      <c r="L11" s="16">
        <v>12.81771</v>
      </c>
      <c r="M11" s="16">
        <v>62999000000</v>
      </c>
      <c r="N11" s="8">
        <v>18.9879108842634</v>
      </c>
      <c r="O11" s="8">
        <v>116.679482902253</v>
      </c>
      <c r="P11" s="8">
        <v>88.523</v>
      </c>
      <c r="Q11" s="8">
        <v>154.1358490566038</v>
      </c>
      <c r="R11" s="8">
        <v>31.866846</v>
      </c>
      <c r="S11" s="8">
        <v>10.5721534231337</v>
      </c>
    </row>
    <row r="13" spans="1:19">
      <c r="A13" s="4" t="s">
        <v>234</v>
      </c>
      <c r="B13" s="4"/>
      <c r="C13" s="4"/>
      <c r="D13" s="4"/>
      <c r="E13" s="4"/>
      <c r="F13" s="4"/>
      <c r="G13" s="4"/>
      <c r="H13" s="4"/>
    </row>
    <row r="14" spans="1:19">
      <c r="A14" s="15" t="s">
        <v>235</v>
      </c>
      <c r="B14" s="15" t="s">
        <v>236</v>
      </c>
      <c r="C14" s="15" t="s">
        <v>237</v>
      </c>
      <c r="D14" s="15" t="s">
        <v>238</v>
      </c>
      <c r="E14" s="15" t="s">
        <v>239</v>
      </c>
      <c r="F14" s="15" t="s">
        <v>240</v>
      </c>
      <c r="G14" s="15" t="s">
        <v>241</v>
      </c>
      <c r="H14" s="15" t="s">
        <v>242</v>
      </c>
    </row>
    <row r="15" spans="1:19">
      <c r="A15" s="2" t="s">
        <v>210</v>
      </c>
      <c r="B15" s="8">
        <v>2.208960678862467</v>
      </c>
      <c r="C15" s="8">
        <v>13.77524506470399</v>
      </c>
      <c r="D15" s="8">
        <v>18.9879108842634</v>
      </c>
      <c r="E15" s="8">
        <v>17.69680083333263</v>
      </c>
      <c r="F15" s="8">
        <v>21.39438103776154</v>
      </c>
      <c r="G15" s="8">
        <v>32.34148206527149</v>
      </c>
      <c r="H15" s="8">
        <v>9.485996902770678</v>
      </c>
    </row>
    <row r="16" spans="1:19">
      <c r="A16" s="2" t="s">
        <v>211</v>
      </c>
      <c r="B16" s="8">
        <v>3.069840815219838</v>
      </c>
      <c r="C16" s="8">
        <v>42.60783111655403</v>
      </c>
      <c r="D16" s="8">
        <v>76.11435440595299</v>
      </c>
      <c r="E16" s="8">
        <v>66.93322193471023</v>
      </c>
      <c r="F16" s="8">
        <v>93.72660659321886</v>
      </c>
      <c r="G16" s="8">
        <v>116.679482902253</v>
      </c>
      <c r="H16" s="8">
        <v>39.42366632285538</v>
      </c>
    </row>
    <row r="17" spans="1:8">
      <c r="A17" s="2" t="s">
        <v>212</v>
      </c>
      <c r="B17" s="8">
        <v>2.946</v>
      </c>
      <c r="C17" s="8">
        <v>39.2575</v>
      </c>
      <c r="D17" s="8">
        <v>40.693</v>
      </c>
      <c r="E17" s="8">
        <v>45.13757142857143</v>
      </c>
      <c r="F17" s="8">
        <v>52.643</v>
      </c>
      <c r="G17" s="8">
        <v>88.523</v>
      </c>
      <c r="H17" s="8">
        <v>25.43871905093456</v>
      </c>
    </row>
    <row r="18" spans="1:8">
      <c r="A18" s="2" t="s">
        <v>213</v>
      </c>
      <c r="B18" s="8">
        <v>-1827</v>
      </c>
      <c r="C18" s="8">
        <v>11.72851443973816</v>
      </c>
      <c r="D18" s="8">
        <v>64.82691567192916</v>
      </c>
      <c r="E18" s="8">
        <v>-241.8921055955991</v>
      </c>
      <c r="F18" s="8">
        <v>89.57820791568396</v>
      </c>
      <c r="G18" s="8">
        <v>154.1358490566038</v>
      </c>
      <c r="H18" s="8">
        <v>778.2250405907358</v>
      </c>
    </row>
    <row r="19" spans="1:8">
      <c r="A19" s="2" t="s">
        <v>214</v>
      </c>
      <c r="B19" s="8">
        <v>18.740164</v>
      </c>
      <c r="C19" s="8">
        <v>22.1190185</v>
      </c>
      <c r="D19" s="8">
        <v>26.634155</v>
      </c>
      <c r="E19" s="8">
        <v>31.84945428571428</v>
      </c>
      <c r="F19" s="8">
        <v>30.519472</v>
      </c>
      <c r="G19" s="8">
        <v>72.29488000000001</v>
      </c>
      <c r="H19" s="8">
        <v>18.40410374037521</v>
      </c>
    </row>
    <row r="20" spans="1:8">
      <c r="A20" s="2" t="s">
        <v>215</v>
      </c>
      <c r="B20" s="8">
        <v>-379.3776323532009</v>
      </c>
      <c r="C20" s="8">
        <v>2.611060190513686</v>
      </c>
      <c r="D20" s="8">
        <v>10.5721534231337</v>
      </c>
      <c r="E20" s="8">
        <v>-39.71579361655078</v>
      </c>
      <c r="F20" s="8">
        <v>26.44585395992597</v>
      </c>
      <c r="G20" s="8">
        <v>32.68109531333244</v>
      </c>
      <c r="H20" s="8">
        <v>150.2773313858065</v>
      </c>
    </row>
    <row r="22" spans="1:8">
      <c r="A22" s="4" t="s">
        <v>243</v>
      </c>
      <c r="B22" s="4"/>
      <c r="C22" s="4"/>
      <c r="D22" s="4"/>
      <c r="E22" s="4"/>
      <c r="F22" s="4"/>
      <c r="G22" s="4"/>
    </row>
    <row r="23" spans="1:8">
      <c r="A23" s="15" t="s">
        <v>235</v>
      </c>
      <c r="B23" s="15" t="s">
        <v>235</v>
      </c>
      <c r="C23" s="15" t="s">
        <v>244</v>
      </c>
      <c r="D23" s="15" t="s">
        <v>245</v>
      </c>
      <c r="E23" s="15" t="s">
        <v>246</v>
      </c>
      <c r="F23" s="15" t="s">
        <v>247</v>
      </c>
      <c r="G23" s="15" t="s">
        <v>248</v>
      </c>
      <c r="H23" s="15" t="s">
        <v>249</v>
      </c>
    </row>
    <row r="24" spans="1:8">
      <c r="A24" s="2" t="s">
        <v>210</v>
      </c>
      <c r="B24" s="8">
        <v>13.77524506470399</v>
      </c>
      <c r="C24" s="8">
        <v>18.9879108842634</v>
      </c>
      <c r="D24" s="8">
        <v>21.39438103776154</v>
      </c>
      <c r="E24" s="5">
        <v>459.9330038146607</v>
      </c>
      <c r="F24" s="5">
        <v>712.4642314994273</v>
      </c>
      <c r="G24" s="5">
        <v>586.198617657044</v>
      </c>
    </row>
    <row r="25" spans="1:8">
      <c r="A25" s="2" t="s">
        <v>211</v>
      </c>
      <c r="B25" s="8">
        <v>42.60783111655403</v>
      </c>
      <c r="C25" s="8">
        <v>76.11435440595299</v>
      </c>
      <c r="D25" s="8">
        <v>93.72660659321886</v>
      </c>
      <c r="E25" s="5">
        <v>664.9588434161573</v>
      </c>
      <c r="F25" s="5">
        <v>1458.710594175236</v>
      </c>
      <c r="G25" s="5">
        <v>1061.834718795697</v>
      </c>
    </row>
    <row r="26" spans="1:8">
      <c r="A26" s="2" t="s">
        <v>214</v>
      </c>
      <c r="B26" s="8">
        <v>22.1190185</v>
      </c>
      <c r="C26" s="8">
        <v>26.634155</v>
      </c>
      <c r="D26" s="8">
        <v>30.519472</v>
      </c>
      <c r="E26" s="5">
        <v>2251.32015286885</v>
      </c>
      <c r="F26" s="5">
        <v>3106.3359510512</v>
      </c>
      <c r="G26" s="5">
        <v>2678.828051960025</v>
      </c>
    </row>
    <row r="27" spans="1:8">
      <c r="A27" s="2" t="s">
        <v>213</v>
      </c>
      <c r="B27" s="8">
        <v>11.72851443973816</v>
      </c>
      <c r="C27" s="8">
        <v>64.82691567192916</v>
      </c>
      <c r="D27" s="8">
        <v>89.57820791568396</v>
      </c>
      <c r="E27" s="5">
        <v>89.01942459761263</v>
      </c>
      <c r="F27" s="5">
        <v>679.8985980800412</v>
      </c>
      <c r="G27" s="5">
        <v>384.4590113388269</v>
      </c>
    </row>
    <row r="28" spans="1:8">
      <c r="A28" s="2" t="s">
        <v>215</v>
      </c>
      <c r="B28" s="8">
        <v>2.611060190513686</v>
      </c>
      <c r="C28" s="8">
        <v>10.5721534231337</v>
      </c>
      <c r="D28" s="8">
        <v>26.44585395992597</v>
      </c>
      <c r="E28" s="5">
        <v>128.7706748256853</v>
      </c>
      <c r="F28" s="5">
        <v>1273.554414729107</v>
      </c>
      <c r="G28" s="5">
        <v>701.1625447773963</v>
      </c>
    </row>
  </sheetData>
  <mergeCells count="3">
    <mergeCell ref="A1:M1"/>
    <mergeCell ref="A13:H13"/>
    <mergeCell ref="A22:G2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36</vt:i4>
      </vt:variant>
    </vt:vector>
  </HeadingPairs>
  <TitlesOfParts>
    <vt:vector size="48" baseType="lpstr">
      <vt:lpstr>Cover</vt:lpstr>
      <vt:lpstr>Drivers</vt:lpstr>
      <vt:lpstr>Historicals</vt:lpstr>
      <vt:lpstr>Cycle Diagnostic</vt:lpstr>
      <vt:lpstr>Forecast</vt:lpstr>
      <vt:lpstr>DCF</vt:lpstr>
      <vt:lpstr>LBO</vt:lpstr>
      <vt:lpstr>Returns Attribution</vt:lpstr>
      <vt:lpstr>Comps</vt:lpstr>
      <vt:lpstr>Sensitivity</vt:lpstr>
      <vt:lpstr>Football</vt:lpstr>
      <vt:lpstr>Notes</vt:lpstr>
      <vt:lpstr>ib_betaT</vt:lpstr>
      <vt:lpstr>ib_cxpct</vt:lpstr>
      <vt:lpstr>ib_dapct</vt:lpstr>
      <vt:lpstr>ib_EBDA1</vt:lpstr>
      <vt:lpstr>ib_EBDA2</vt:lpstr>
      <vt:lpstr>ib_EBDA3</vt:lpstr>
      <vt:lpstr>ib_EBDA4</vt:lpstr>
      <vt:lpstr>ib_EBDA5</vt:lpstr>
      <vt:lpstr>ib_ebmgn</vt:lpstr>
      <vt:lpstr>ib_entrym</vt:lpstr>
      <vt:lpstr>ib_erp</vt:lpstr>
      <vt:lpstr>ib_exitm</vt:lpstr>
      <vt:lpstr>ib_FCF1</vt:lpstr>
      <vt:lpstr>ib_FCF2</vt:lpstr>
      <vt:lpstr>ib_FCF3</vt:lpstr>
      <vt:lpstr>ib_FCF4</vt:lpstr>
      <vt:lpstr>ib_FCF5</vt:lpstr>
      <vt:lpstr>ib_grw1</vt:lpstr>
      <vt:lpstr>ib_grw2</vt:lpstr>
      <vt:lpstr>ib_grw3</vt:lpstr>
      <vt:lpstr>ib_grw4</vt:lpstr>
      <vt:lpstr>ib_grw5</vt:lpstr>
      <vt:lpstr>ib_hold</vt:lpstr>
      <vt:lpstr>ib_kdLBO</vt:lpstr>
      <vt:lpstr>ib_leverage</vt:lpstr>
      <vt:lpstr>ib_netdebt</vt:lpstr>
      <vt:lpstr>ib_nwcpct</vt:lpstr>
      <vt:lpstr>ib_px</vt:lpstr>
      <vt:lpstr>ib_rf</vt:lpstr>
      <vt:lpstr>ib_shares</vt:lpstr>
      <vt:lpstr>ib_spread</vt:lpstr>
      <vt:lpstr>ib_sweep</vt:lpstr>
      <vt:lpstr>ib_tax</vt:lpstr>
      <vt:lpstr>ib_tg</vt:lpstr>
      <vt:lpstr>ib_WACC</vt:lpstr>
      <vt:lpstr>ib_wd</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2026-05-08T03:16:11Z</dcterms:created>
  <dcterms:modified xsi:type="dcterms:W3CDTF">2026-05-08T03:16:11Z</dcterms:modified>
</cp:coreProperties>
</file>