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Drivers" sheetId="2" state="visible" r:id="rId2"/>
    <sheet xmlns:r="http://schemas.openxmlformats.org/officeDocument/2006/relationships" name="Forward LBO" sheetId="3" state="visible" r:id="rId3"/>
    <sheet xmlns:r="http://schemas.openxmlformats.org/officeDocument/2006/relationships" name="Reverse LBO" sheetId="4" state="visible" r:id="rId4"/>
    <sheet xmlns:r="http://schemas.openxmlformats.org/officeDocument/2006/relationships" name="Returns Attribution" sheetId="5" state="visible" r:id="rId5"/>
    <sheet xmlns:r="http://schemas.openxmlformats.org/officeDocument/2006/relationships" name="Sensitivity" sheetId="6" state="visible" r:id="rId6"/>
    <sheet xmlns:r="http://schemas.openxmlformats.org/officeDocument/2006/relationships" name="Sources &amp; Uses" sheetId="7" state="visible" r:id="rId7"/>
    <sheet xmlns:r="http://schemas.openxmlformats.org/officeDocument/2006/relationships" name="Note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%;(0.0%);—"/>
    <numFmt numFmtId="165" formatCode="_($* #,##0.00_);_($* (#,##0.00);_($* &quot;—&quot;_);_(@_)"/>
    <numFmt numFmtId="166" formatCode="#,##0.0&quot;M&quot;"/>
    <numFmt numFmtId="167" formatCode="_($* #,##0.0_);_($* (#,##0.0);_($* &quot;—&quot;_);_(@_)"/>
    <numFmt numFmtId="168" formatCode="0.00&quot;x&quot;"/>
  </numFmts>
  <fonts count="9">
    <font>
      <name val="Calibri"/>
      <family val="2"/>
      <color theme="1"/>
      <sz val="11"/>
      <scheme val="minor"/>
    </font>
    <font>
      <name val="Cambria"/>
      <b val="1"/>
      <color rgb="001F1B14"/>
      <sz val="18"/>
    </font>
    <font>
      <i val="1"/>
      <color rgb="006B6453"/>
    </font>
    <font>
      <name val="Cambria"/>
      <b val="1"/>
      <color rgb="000B3D91"/>
      <sz val="11"/>
    </font>
    <font>
      <name val="Cambria"/>
      <b val="1"/>
      <color rgb="00C46A2C"/>
      <sz val="13"/>
    </font>
    <font>
      <color rgb="006B6453"/>
      <sz val="9"/>
    </font>
    <font>
      <b val="1"/>
      <color rgb="00FFFFFF"/>
    </font>
    <font>
      <color rgb="001F1B14"/>
    </font>
    <font>
      <b val="1"/>
      <color rgb="001F1B14"/>
    </font>
  </fonts>
  <fills count="7">
    <fill>
      <patternFill/>
    </fill>
    <fill>
      <patternFill patternType="gray125"/>
    </fill>
    <fill>
      <patternFill patternType="solid">
        <fgColor rgb="00F5E4CE"/>
      </patternFill>
    </fill>
    <fill>
      <patternFill patternType="solid">
        <fgColor rgb="000B3D91"/>
      </patternFill>
    </fill>
    <fill>
      <patternFill patternType="solid">
        <fgColor rgb="00FFF2CC"/>
      </patternFill>
    </fill>
    <fill>
      <patternFill patternType="solid">
        <fgColor rgb="00FAF6E8"/>
      </patternFill>
    </fill>
    <fill>
      <patternFill patternType="solid">
        <fgColor rgb="00C46A2C"/>
      </patternFill>
    </fill>
  </fills>
  <borders count="2">
    <border>
      <left/>
      <right/>
      <top/>
      <bottom/>
      <diagonal/>
    </border>
    <border>
      <left style="thin">
        <color rgb="00D8CDB0"/>
      </left>
      <right style="thin">
        <color rgb="00D8CDB0"/>
      </right>
      <top style="thin">
        <color rgb="00D8CDB0"/>
      </top>
      <bottom style="thin">
        <color rgb="00D8CDB0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4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0" fontId="5" fillId="0" borderId="0" pivotButton="0" quotePrefix="0" xfId="0"/>
    <xf numFmtId="0" fontId="4" fillId="2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165" fontId="8" fillId="4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top" wrapText="1"/>
    </xf>
    <xf numFmtId="166" fontId="8" fillId="4" borderId="1" applyAlignment="1" pivotButton="0" quotePrefix="0" xfId="0">
      <alignment horizontal="right" vertical="center"/>
    </xf>
    <xf numFmtId="167" fontId="8" fillId="4" borderId="1" applyAlignment="1" pivotButton="0" quotePrefix="0" xfId="0">
      <alignment horizontal="right" vertical="center"/>
    </xf>
    <xf numFmtId="164" fontId="8" fillId="4" borderId="1" applyAlignment="1" pivotButton="0" quotePrefix="0" xfId="0">
      <alignment horizontal="right" vertical="center"/>
    </xf>
    <xf numFmtId="168" fontId="8" fillId="4" borderId="1" applyAlignment="1" pivotButton="0" quotePrefix="0" xfId="0">
      <alignment horizontal="right" vertical="center"/>
    </xf>
    <xf numFmtId="1" fontId="8" fillId="4" borderId="1" applyAlignment="1" pivotButton="0" quotePrefix="0" xfId="0">
      <alignment horizontal="right" vertical="center"/>
    </xf>
    <xf numFmtId="167" fontId="0" fillId="5" borderId="1" applyAlignment="1" pivotButton="0" quotePrefix="0" xfId="0">
      <alignment horizontal="right" vertical="center"/>
    </xf>
    <xf numFmtId="167" fontId="8" fillId="2" borderId="1" applyAlignment="1" pivotButton="0" quotePrefix="0" xfId="0">
      <alignment horizontal="right" vertical="center"/>
    </xf>
    <xf numFmtId="168" fontId="0" fillId="5" borderId="1" applyAlignment="1" pivotButton="0" quotePrefix="0" xfId="0">
      <alignment horizontal="right" vertical="center"/>
    </xf>
    <xf numFmtId="1" fontId="0" fillId="5" borderId="1" applyAlignment="1" pivotButton="0" quotePrefix="0" xfId="0">
      <alignment horizontal="right" vertical="center"/>
    </xf>
    <xf numFmtId="168" fontId="8" fillId="2" borderId="1" applyAlignment="1" pivotButton="0" quotePrefix="0" xfId="0">
      <alignment horizontal="right" vertical="center"/>
    </xf>
    <xf numFmtId="164" fontId="8" fillId="2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top" wrapText="1"/>
    </xf>
    <xf numFmtId="165" fontId="0" fillId="5" borderId="1" applyAlignment="1" pivotButton="0" quotePrefix="0" xfId="0">
      <alignment horizontal="right" vertical="center"/>
    </xf>
    <xf numFmtId="164" fontId="0" fillId="5" borderId="1" applyAlignment="1" pivotButton="0" quotePrefix="0" xfId="0">
      <alignment horizontal="right" vertical="center"/>
    </xf>
    <xf numFmtId="0" fontId="0" fillId="5" borderId="1" applyAlignment="1" pivotButton="0" quotePrefix="0" xfId="0">
      <alignment horizontal="right" vertical="center"/>
    </xf>
    <xf numFmtId="168" fontId="6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164" fontId="6" fillId="6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28" customWidth="1" min="1" max="1"/>
    <col width="32" customWidth="1" min="2" max="2"/>
  </cols>
  <sheetData>
    <row r="1" ht="36" customHeight="1">
      <c r="A1" s="1" t="inlineStr">
        <is>
          <t>Micron Technology — Reverse-LBO</t>
        </is>
      </c>
    </row>
    <row r="3">
      <c r="A3" s="2" t="inlineStr">
        <is>
          <t>Brandon Leon · IB-grade workbook · Reverse-LBO Edition</t>
        </is>
      </c>
    </row>
    <row r="5">
      <c r="A5" s="3" t="inlineStr">
        <is>
          <t>Target</t>
        </is>
      </c>
      <c r="B5" t="inlineStr">
        <is>
          <t>Micron Technology</t>
        </is>
      </c>
    </row>
    <row r="6">
      <c r="A6" t="inlineStr">
        <is>
          <t>Ticker</t>
        </is>
      </c>
      <c r="B6" t="inlineStr">
        <is>
          <t>MU</t>
        </is>
      </c>
    </row>
    <row r="7">
      <c r="A7" t="inlineStr">
        <is>
          <t>Sector</t>
        </is>
      </c>
      <c r="B7" t="inlineStr">
        <is>
          <t>Semiconductors — Memory</t>
        </is>
      </c>
    </row>
    <row r="8">
      <c r="A8" t="inlineStr">
        <is>
          <t>Methodology</t>
        </is>
      </c>
      <c r="B8" t="inlineStr">
        <is>
          <t>Reverse-LBO @ target sponsor IRR</t>
        </is>
      </c>
    </row>
    <row r="9">
      <c r="A9" t="inlineStr">
        <is>
          <t>Edition</t>
        </is>
      </c>
      <c r="B9" t="inlineStr">
        <is>
          <t>Universal · 2026</t>
        </is>
      </c>
    </row>
    <row r="10">
      <c r="A10" t="inlineStr">
        <is>
          <t>Audit</t>
        </is>
      </c>
      <c r="B10" t="inlineStr">
        <is>
          <t>Each formula traceable; see Notes tab</t>
        </is>
      </c>
    </row>
    <row r="12">
      <c r="A12" s="3" t="inlineStr">
        <is>
          <t>Headline thesis</t>
        </is>
      </c>
    </row>
    <row r="13" ht="60" customHeight="1">
      <c r="A13" s="4" t="inlineStr">
        <is>
          <t>Through-cycle scorecard. Mid-cycle EBITDA winsorized to drop the FY23 trough; assumes the AI/HBM margin floor doesn't structurally change the cycle. At 8× exit and 4.5× leverage, what's the maximum entry a sponsor would underwrite at 20% IRR — and how does that compare to today's quote?</t>
        </is>
      </c>
    </row>
    <row r="14"/>
    <row r="15"/>
    <row r="17">
      <c r="A17" s="5" t="inlineStr">
        <is>
          <t>Headline outputs</t>
        </is>
      </c>
    </row>
    <row r="18">
      <c r="A18" t="inlineStr">
        <is>
          <t>Target sponsor IRR</t>
        </is>
      </c>
      <c r="B18" s="6" t="n">
        <v>0.2</v>
      </c>
    </row>
    <row r="19">
      <c r="A19" t="inlineStr">
        <is>
          <t>Implied take-private price (illustrative)</t>
        </is>
      </c>
      <c r="B19" s="7" t="n">
        <v>85</v>
      </c>
    </row>
    <row r="20">
      <c r="A20" t="inlineStr">
        <is>
          <t>Current share price</t>
        </is>
      </c>
      <c r="B20" s="7" t="n">
        <v>86</v>
      </c>
    </row>
    <row r="21">
      <c r="A21" t="inlineStr">
        <is>
          <t>Implied premium / (discount)</t>
        </is>
      </c>
      <c r="B21" s="6">
        <f>B19/B20-1</f>
        <v/>
      </c>
    </row>
    <row r="23">
      <c r="A23" s="3" t="inlineStr">
        <is>
          <t>How to use this workbook</t>
        </is>
      </c>
    </row>
    <row r="24" ht="60" customHeight="1">
      <c r="A24" s="4" t="inlineStr">
        <is>
          <t>Drivers tab is the single source of truth — every assumption is highlighted yellow. Forward LBO and Reverse LBO recalculate from it. Returns Attribution decomposes the headline IRR. Sensitivity grid stress-tests entry × exit multiple. Notes tab walks every formula and flags where the model is sensitive.</t>
        </is>
      </c>
    </row>
    <row r="25"/>
    <row r="26"/>
    <row r="27"/>
    <row r="29">
      <c r="A29" s="8" t="inlineStr">
        <is>
          <t>License</t>
        </is>
      </c>
    </row>
    <row r="30">
      <c r="A30" s="8" t="inlineStr">
        <is>
          <t>MIT-style for personal/academic/research use. Credit if you publish off this work.</t>
        </is>
      </c>
    </row>
    <row r="32">
      <c r="A32" s="8" t="inlineStr">
        <is>
          <t>Disclaimer</t>
        </is>
      </c>
    </row>
    <row r="33">
      <c r="A33" s="8" t="inlineStr">
        <is>
          <t>Educational tool. Not investment advice or a take-private prediction. See bpleon.com/disclaimer.</t>
        </is>
      </c>
    </row>
  </sheetData>
  <mergeCells count="4">
    <mergeCell ref="A1:D1"/>
    <mergeCell ref="A13:D15"/>
    <mergeCell ref="A3:D3"/>
    <mergeCell ref="A24:D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6"/>
  <sheetViews>
    <sheetView workbookViewId="0">
      <selection activeCell="A1" sqref="A1"/>
    </sheetView>
  </sheetViews>
  <sheetFormatPr baseColWidth="8" defaultRowHeight="15"/>
  <cols>
    <col width="36" customWidth="1" min="1" max="1"/>
    <col width="15" customWidth="1" min="2" max="2"/>
    <col width="36" customWidth="1" min="3" max="3"/>
  </cols>
  <sheetData>
    <row r="1">
      <c r="A1" s="1" t="inlineStr">
        <is>
          <t>Drivers — every input is here. Yellow cells are user-editable.</t>
        </is>
      </c>
    </row>
    <row r="3">
      <c r="A3" s="9" t="inlineStr">
        <is>
          <t>Public Market</t>
        </is>
      </c>
    </row>
    <row r="4">
      <c r="A4" s="10" t="inlineStr">
        <is>
          <t>Driver</t>
        </is>
      </c>
      <c r="B4" s="10" t="inlineStr">
        <is>
          <t>Value</t>
        </is>
      </c>
      <c r="C4" s="10" t="inlineStr">
        <is>
          <t>Note</t>
        </is>
      </c>
    </row>
    <row r="5">
      <c r="A5" s="11" t="inlineStr">
        <is>
          <t>Current share price ($)</t>
        </is>
      </c>
      <c r="B5" s="12" t="n">
        <v>86</v>
      </c>
      <c r="C5" s="13" t="inlineStr">
        <is>
          <t>Used for premium math on Reverse LBO tab.</t>
        </is>
      </c>
    </row>
    <row r="6">
      <c r="A6" s="11" t="inlineStr">
        <is>
          <t>Diluted shares outstanding (M)</t>
        </is>
      </c>
      <c r="B6" s="14" t="n">
        <v>1120</v>
      </c>
      <c r="C6" s="13" t="inlineStr">
        <is>
          <t>Used to convert entry EV → implied take-private $/share.</t>
        </is>
      </c>
    </row>
    <row r="7">
      <c r="A7" s="11" t="inlineStr">
        <is>
          <t>Net debt ($B)</t>
        </is>
      </c>
      <c r="B7" s="15" t="n">
        <v>3</v>
      </c>
      <c r="C7" s="13" t="inlineStr">
        <is>
          <t>Subtracted from entry EV to get equity offer value.</t>
        </is>
      </c>
    </row>
    <row r="9">
      <c r="A9" s="9" t="inlineStr">
        <is>
          <t>Operating</t>
        </is>
      </c>
    </row>
    <row r="10">
      <c r="A10" s="10" t="inlineStr">
        <is>
          <t>Driver</t>
        </is>
      </c>
      <c r="B10" s="10" t="inlineStr">
        <is>
          <t>Value</t>
        </is>
      </c>
      <c r="C10" s="10" t="inlineStr">
        <is>
          <t>Note</t>
        </is>
      </c>
    </row>
    <row r="11">
      <c r="A11" s="11" t="inlineStr">
        <is>
          <t>Entry EBITDA ($B, LTM)</t>
        </is>
      </c>
      <c r="B11" s="15" t="n">
        <v>13.8</v>
      </c>
      <c r="C11" s="13" t="inlineStr">
        <is>
          <t>Mid-cycle if cyclical; LTM if stable.</t>
        </is>
      </c>
    </row>
    <row r="12">
      <c r="A12" s="11" t="inlineStr">
        <is>
          <t>EBITDA growth p.a. (%)</t>
        </is>
      </c>
      <c r="B12" s="16" t="n">
        <v>0.06</v>
      </c>
      <c r="C12" s="13" t="inlineStr">
        <is>
          <t>Through-cycle CAGR — fade ~8% / yr applied implicitly.</t>
        </is>
      </c>
    </row>
    <row r="13">
      <c r="A13" s="11" t="inlineStr">
        <is>
          <t>EBITDA margin (%)</t>
        </is>
      </c>
      <c r="B13" s="16" t="n">
        <v>0.55</v>
      </c>
      <c r="C13" s="13" t="inlineStr">
        <is>
          <t>Used to back into revenue path for capex / NWC.</t>
        </is>
      </c>
    </row>
    <row r="14">
      <c r="A14" s="11" t="inlineStr">
        <is>
          <t>Capex (% revenue)</t>
        </is>
      </c>
      <c r="B14" s="16" t="n">
        <v>0.25</v>
      </c>
      <c r="C14" s="13" t="inlineStr">
        <is>
          <t>Cash capex; high for cyclicals like memory / E&amp;P.</t>
        </is>
      </c>
    </row>
    <row r="15">
      <c r="A15" s="11" t="inlineStr">
        <is>
          <t>NWC (% Δ revenue)</t>
        </is>
      </c>
      <c r="B15" s="16" t="n">
        <v>0.02</v>
      </c>
      <c r="C15" s="13" t="inlineStr">
        <is>
          <t>Working capital absorption from growth.</t>
        </is>
      </c>
    </row>
    <row r="16">
      <c r="A16" s="11" t="inlineStr">
        <is>
          <t>Tax rate (%)</t>
        </is>
      </c>
      <c r="B16" s="16" t="n">
        <v>0.15</v>
      </c>
      <c r="C16" s="13" t="inlineStr">
        <is>
          <t>Effective; 15% for Asian-mfg, 21–25% generic US.</t>
        </is>
      </c>
    </row>
    <row r="18">
      <c r="A18" s="9" t="inlineStr">
        <is>
          <t>Deal Structure</t>
        </is>
      </c>
    </row>
    <row r="19">
      <c r="A19" s="10" t="inlineStr">
        <is>
          <t>Driver</t>
        </is>
      </c>
      <c r="B19" s="10" t="inlineStr">
        <is>
          <t>Value</t>
        </is>
      </c>
      <c r="C19" s="10" t="inlineStr">
        <is>
          <t>Note</t>
        </is>
      </c>
    </row>
    <row r="20">
      <c r="A20" s="11" t="inlineStr">
        <is>
          <t>Exit multiple (EV / EBITDA)</t>
        </is>
      </c>
      <c r="B20" s="17" t="n">
        <v>8</v>
      </c>
      <c r="C20" s="13" t="inlineStr">
        <is>
          <t>Year-H exit assumption. Center for sensitivity.</t>
        </is>
      </c>
    </row>
    <row r="21">
      <c r="A21" s="11" t="inlineStr">
        <is>
          <t>Debt / EBITDA at close</t>
        </is>
      </c>
      <c r="B21" s="17" t="n">
        <v>4.5</v>
      </c>
      <c r="C21" s="13" t="inlineStr">
        <is>
          <t>Sponsor leverage at the LBO. 4.5x is mid-market norm.</t>
        </is>
      </c>
    </row>
    <row r="22">
      <c r="A22" s="11" t="inlineStr">
        <is>
          <t>Cost of debt (%)</t>
        </is>
      </c>
      <c r="B22" s="16" t="n">
        <v>0.08500000000000001</v>
      </c>
      <c r="C22" s="13" t="inlineStr">
        <is>
          <t>Blended cost incl. TLA/TLB; 8.5% in current rate env.</t>
        </is>
      </c>
    </row>
    <row r="23">
      <c r="A23" s="11" t="inlineStr">
        <is>
          <t>Cash sweep (%)</t>
        </is>
      </c>
      <c r="B23" s="16" t="n">
        <v>0.75</v>
      </c>
      <c r="C23" s="13" t="inlineStr">
        <is>
          <t>% of CFADS swept to debt paydown. 75% common.</t>
        </is>
      </c>
    </row>
    <row r="24">
      <c r="A24" s="11" t="inlineStr">
        <is>
          <t>Hold period (yrs)</t>
        </is>
      </c>
      <c r="B24" s="18" t="n">
        <v>5</v>
      </c>
      <c r="C24" s="13" t="inlineStr">
        <is>
          <t>Sponsor hold; 5 typical.</t>
        </is>
      </c>
    </row>
    <row r="25">
      <c r="A25" s="11" t="inlineStr">
        <is>
          <t>Transaction fees (% EV)</t>
        </is>
      </c>
      <c r="B25" s="16" t="n">
        <v>0.02</v>
      </c>
      <c r="C25" s="13" t="inlineStr">
        <is>
          <t>Banker, legal, financing fees on EV.</t>
        </is>
      </c>
    </row>
    <row r="26">
      <c r="A26" s="11" t="inlineStr">
        <is>
          <t>Headline target IRR (%)</t>
        </is>
      </c>
      <c r="B26" s="16" t="n">
        <v>0.2</v>
      </c>
      <c r="C26" s="13" t="inlineStr">
        <is>
          <t>Sponsor underwriting threshold; 20% market norm.</t>
        </is>
      </c>
    </row>
  </sheetData>
  <mergeCells count="4">
    <mergeCell ref="A1:C1"/>
    <mergeCell ref="A9:C9"/>
    <mergeCell ref="A3:C3"/>
    <mergeCell ref="A18:C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8"/>
  <sheetViews>
    <sheetView workbookViewId="0">
      <selection activeCell="A1" sqref="A1"/>
    </sheetView>
  </sheetViews>
  <sheetFormatPr baseColWidth="8" defaultRowHeight="15"/>
  <cols>
    <col width="3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</cols>
  <sheetData>
    <row r="1">
      <c r="A1" s="1" t="inlineStr">
        <is>
          <t>Forward LBO — illustrative entry multiple of 8.0×</t>
        </is>
      </c>
    </row>
    <row r="3">
      <c r="A3" s="2" t="inlineStr">
        <is>
          <t>Note: For the Reverse-LBO that solves for max entry multiple, see the next tab.</t>
        </is>
      </c>
    </row>
    <row r="5">
      <c r="A5" s="5" t="inlineStr">
        <is>
          <t>Sources &amp; Uses (illustrative entry mult = 8.0×)</t>
        </is>
      </c>
    </row>
    <row r="6">
      <c r="A6" t="inlineStr">
        <is>
          <t>Entry multiple (assumed)</t>
        </is>
      </c>
      <c r="B6" s="17" t="n">
        <v>8</v>
      </c>
    </row>
    <row r="7">
      <c r="A7" t="inlineStr">
        <is>
          <t>Entry EV</t>
        </is>
      </c>
      <c r="B7" s="19">
        <f>B6*Drivers!$B$11</f>
        <v/>
      </c>
    </row>
    <row r="8">
      <c r="A8" t="inlineStr">
        <is>
          <t>(+) Transaction fees</t>
        </is>
      </c>
      <c r="B8" s="19">
        <f>B7*Drivers!$B$25</f>
        <v/>
      </c>
    </row>
    <row r="9">
      <c r="A9" t="inlineStr">
        <is>
          <t>(=) Total uses</t>
        </is>
      </c>
      <c r="B9" s="20">
        <f>B7+B8</f>
        <v/>
      </c>
    </row>
    <row r="10">
      <c r="A10" t="inlineStr">
        <is>
          <t>(−) New term debt</t>
        </is>
      </c>
      <c r="B10" s="19">
        <f>Drivers!$B$11*Drivers!$B$21</f>
        <v/>
      </c>
    </row>
    <row r="11">
      <c r="A11" t="inlineStr">
        <is>
          <t>(=) Sponsor equity</t>
        </is>
      </c>
      <c r="B11" s="20">
        <f>B9-B10</f>
        <v/>
      </c>
    </row>
    <row r="14">
      <c r="A14" s="5" t="inlineStr">
        <is>
          <t>Operating Build</t>
        </is>
      </c>
    </row>
    <row r="15">
      <c r="A15" s="10" t="inlineStr">
        <is>
          <t>Line</t>
        </is>
      </c>
      <c r="B15" s="10" t="inlineStr">
        <is>
          <t>Y1</t>
        </is>
      </c>
      <c r="C15" s="10" t="inlineStr">
        <is>
          <t>Y2</t>
        </is>
      </c>
      <c r="D15" s="10" t="inlineStr">
        <is>
          <t>Y3</t>
        </is>
      </c>
      <c r="E15" s="10" t="inlineStr">
        <is>
          <t>Y4</t>
        </is>
      </c>
      <c r="F15" s="10" t="inlineStr">
        <is>
          <t>Y5</t>
        </is>
      </c>
      <c r="G15" s="10" t="inlineStr">
        <is>
          <t>Y6</t>
        </is>
      </c>
      <c r="H15" s="10" t="inlineStr">
        <is>
          <t>Y7</t>
        </is>
      </c>
    </row>
    <row r="16">
      <c r="A16" t="inlineStr">
        <is>
          <t>Revenue ($B)</t>
        </is>
      </c>
      <c r="B16" s="19">
        <f>Drivers!$B$11/Drivers!$B$13*(1+Drivers!$B$12)</f>
        <v/>
      </c>
      <c r="C16" s="19">
        <f>B16*(1+Drivers!$B$12*0.92^1)</f>
        <v/>
      </c>
      <c r="D16" s="19">
        <f>C16*(1+Drivers!$B$12*0.92^2)</f>
        <v/>
      </c>
      <c r="E16" s="19">
        <f>D16*(1+Drivers!$B$12*0.92^3)</f>
        <v/>
      </c>
      <c r="F16" s="19">
        <f>E16*(1+Drivers!$B$12*0.92^4)</f>
        <v/>
      </c>
      <c r="G16" s="19">
        <f>F16*(1+Drivers!$B$12*0.92^5)</f>
        <v/>
      </c>
      <c r="H16" s="19">
        <f>G16*(1+Drivers!$B$12*0.92^6)</f>
        <v/>
      </c>
    </row>
    <row r="17">
      <c r="A17" t="inlineStr">
        <is>
          <t>EBITDA</t>
        </is>
      </c>
      <c r="B17" s="19">
        <f>B16*Drivers!$B$13</f>
        <v/>
      </c>
      <c r="C17" s="19">
        <f>C16*Drivers!$B$13</f>
        <v/>
      </c>
      <c r="D17" s="19">
        <f>D16*Drivers!$B$13</f>
        <v/>
      </c>
      <c r="E17" s="19">
        <f>E16*Drivers!$B$13</f>
        <v/>
      </c>
      <c r="F17" s="19">
        <f>F16*Drivers!$B$13</f>
        <v/>
      </c>
      <c r="G17" s="19">
        <f>G16*Drivers!$B$13</f>
        <v/>
      </c>
      <c r="H17" s="19">
        <f>H16*Drivers!$B$13</f>
        <v/>
      </c>
    </row>
    <row r="18">
      <c r="A18" t="inlineStr">
        <is>
          <t>EBIT (proxy = 70% × EBITDA)</t>
        </is>
      </c>
      <c r="B18" s="19">
        <f>B17*0.7</f>
        <v/>
      </c>
      <c r="C18" s="19">
        <f>C17*0.7</f>
        <v/>
      </c>
      <c r="D18" s="19">
        <f>D17*0.7</f>
        <v/>
      </c>
      <c r="E18" s="19">
        <f>E17*0.7</f>
        <v/>
      </c>
      <c r="F18" s="19">
        <f>F17*0.7</f>
        <v/>
      </c>
      <c r="G18" s="19">
        <f>G17*0.7</f>
        <v/>
      </c>
      <c r="H18" s="19">
        <f>H17*0.7</f>
        <v/>
      </c>
    </row>
    <row r="19">
      <c r="A19" t="inlineStr">
        <is>
          <t>Capex</t>
        </is>
      </c>
      <c r="B19" s="19">
        <f>B16*Drivers!$B$14</f>
        <v/>
      </c>
      <c r="C19" s="19">
        <f>C16*Drivers!$B$14</f>
        <v/>
      </c>
      <c r="D19" s="19">
        <f>D16*Drivers!$B$14</f>
        <v/>
      </c>
      <c r="E19" s="19">
        <f>E16*Drivers!$B$14</f>
        <v/>
      </c>
      <c r="F19" s="19">
        <f>F16*Drivers!$B$14</f>
        <v/>
      </c>
      <c r="G19" s="19">
        <f>G16*Drivers!$B$14</f>
        <v/>
      </c>
      <c r="H19" s="19">
        <f>H16*Drivers!$B$14</f>
        <v/>
      </c>
    </row>
    <row r="20">
      <c r="A20" t="inlineStr">
        <is>
          <t>Δ NWC</t>
        </is>
      </c>
      <c r="B20" s="19">
        <f>(B16-Drivers!$B$11/Drivers!$B$13)*Drivers!$B$15</f>
        <v/>
      </c>
      <c r="C20" s="19">
        <f>(C16-B16)*Drivers!$B$15</f>
        <v/>
      </c>
      <c r="D20" s="19">
        <f>(D16-C16)*Drivers!$B$15</f>
        <v/>
      </c>
      <c r="E20" s="19">
        <f>(E16-D16)*Drivers!$B$15</f>
        <v/>
      </c>
      <c r="F20" s="19">
        <f>(F16-E16)*Drivers!$B$15</f>
        <v/>
      </c>
      <c r="G20" s="19">
        <f>(G16-F16)*Drivers!$B$15</f>
        <v/>
      </c>
      <c r="H20" s="19">
        <f>(H16-G16)*Drivers!$B$15</f>
        <v/>
      </c>
    </row>
    <row r="22">
      <c r="A22" s="5" t="inlineStr">
        <is>
          <t>Debt Schedule</t>
        </is>
      </c>
    </row>
    <row r="23">
      <c r="A23" s="10" t="inlineStr">
        <is>
          <t>Line</t>
        </is>
      </c>
      <c r="B23" s="10" t="inlineStr">
        <is>
          <t>Y1</t>
        </is>
      </c>
      <c r="C23" s="10" t="inlineStr">
        <is>
          <t>Y2</t>
        </is>
      </c>
      <c r="D23" s="10" t="inlineStr">
        <is>
          <t>Y3</t>
        </is>
      </c>
      <c r="E23" s="10" t="inlineStr">
        <is>
          <t>Y4</t>
        </is>
      </c>
      <c r="F23" s="10" t="inlineStr">
        <is>
          <t>Y5</t>
        </is>
      </c>
      <c r="G23" s="10" t="inlineStr">
        <is>
          <t>Y6</t>
        </is>
      </c>
      <c r="H23" s="10" t="inlineStr">
        <is>
          <t>Y7</t>
        </is>
      </c>
    </row>
    <row r="24">
      <c r="A24" t="inlineStr">
        <is>
          <t>Beginning Debt</t>
        </is>
      </c>
      <c r="B24" s="19">
        <f>B10</f>
        <v/>
      </c>
      <c r="C24" s="19">
        <f>B30</f>
        <v/>
      </c>
      <c r="D24" s="19">
        <f>C30</f>
        <v/>
      </c>
      <c r="E24" s="19">
        <f>D30</f>
        <v/>
      </c>
      <c r="F24" s="19">
        <f>E30</f>
        <v/>
      </c>
      <c r="G24" s="19">
        <f>F30</f>
        <v/>
      </c>
      <c r="H24" s="19">
        <f>G30</f>
        <v/>
      </c>
    </row>
    <row r="25">
      <c r="A25" t="inlineStr">
        <is>
          <t>Mandatory amort (1%)</t>
        </is>
      </c>
      <c r="B25" s="19">
        <f>B24*0.01</f>
        <v/>
      </c>
      <c r="C25" s="19">
        <f>C24*0.01</f>
        <v/>
      </c>
      <c r="D25" s="19">
        <f>D24*0.01</f>
        <v/>
      </c>
      <c r="E25" s="19">
        <f>E24*0.01</f>
        <v/>
      </c>
      <c r="F25" s="19">
        <f>F24*0.01</f>
        <v/>
      </c>
      <c r="G25" s="19">
        <f>G24*0.01</f>
        <v/>
      </c>
      <c r="H25" s="19">
        <f>H24*0.01</f>
        <v/>
      </c>
    </row>
    <row r="26">
      <c r="A26" t="inlineStr">
        <is>
          <t>Cash interest</t>
        </is>
      </c>
      <c r="B26" s="19">
        <f>B24*Drivers!$B$22</f>
        <v/>
      </c>
      <c r="C26" s="19">
        <f>C24*Drivers!$B$22</f>
        <v/>
      </c>
      <c r="D26" s="19">
        <f>D24*Drivers!$B$22</f>
        <v/>
      </c>
      <c r="E26" s="19">
        <f>E24*Drivers!$B$22</f>
        <v/>
      </c>
      <c r="F26" s="19">
        <f>F24*Drivers!$B$22</f>
        <v/>
      </c>
      <c r="G26" s="19">
        <f>G24*Drivers!$B$22</f>
        <v/>
      </c>
      <c r="H26" s="19">
        <f>H24*Drivers!$B$22</f>
        <v/>
      </c>
    </row>
    <row r="27">
      <c r="A27" t="inlineStr">
        <is>
          <t>Cash taxes</t>
        </is>
      </c>
      <c r="B27" s="19">
        <f>MAX(0,(B18-B26)*Drivers!$B$16)</f>
        <v/>
      </c>
      <c r="C27" s="19">
        <f>MAX(0,(C18-C26)*Drivers!$B$16)</f>
        <v/>
      </c>
      <c r="D27" s="19">
        <f>MAX(0,(D18-D26)*Drivers!$B$16)</f>
        <v/>
      </c>
      <c r="E27" s="19">
        <f>MAX(0,(E18-E26)*Drivers!$B$16)</f>
        <v/>
      </c>
      <c r="F27" s="19">
        <f>MAX(0,(F18-F26)*Drivers!$B$16)</f>
        <v/>
      </c>
      <c r="G27" s="19">
        <f>MAX(0,(G18-G26)*Drivers!$B$16)</f>
        <v/>
      </c>
      <c r="H27" s="19">
        <f>MAX(0,(H18-H26)*Drivers!$B$16)</f>
        <v/>
      </c>
    </row>
    <row r="28">
      <c r="A28" t="inlineStr">
        <is>
          <t>CFADS</t>
        </is>
      </c>
      <c r="B28" s="19">
        <f>B17-B26-B27-B19-B20</f>
        <v/>
      </c>
      <c r="C28" s="19">
        <f>C17-C26-C27-C19-C20</f>
        <v/>
      </c>
      <c r="D28" s="19">
        <f>D17-D26-D27-D19-D20</f>
        <v/>
      </c>
      <c r="E28" s="19">
        <f>E17-E26-E27-E19-E20</f>
        <v/>
      </c>
      <c r="F28" s="19">
        <f>F17-F26-F27-F19-F20</f>
        <v/>
      </c>
      <c r="G28" s="19">
        <f>G17-G26-G27-G19-G20</f>
        <v/>
      </c>
      <c r="H28" s="19">
        <f>H17-H26-H27-H19-H20</f>
        <v/>
      </c>
    </row>
    <row r="29">
      <c r="A29" t="inlineStr">
        <is>
          <t>Cash sweep</t>
        </is>
      </c>
      <c r="B29" s="19">
        <f>MIN(MAX(0,B28-B25)*Drivers!$B$23,MAX(0,B24-B25))</f>
        <v/>
      </c>
      <c r="C29" s="19">
        <f>MIN(MAX(0,C28-C25)*Drivers!$B$23,MAX(0,C24-C25))</f>
        <v/>
      </c>
      <c r="D29" s="19">
        <f>MIN(MAX(0,D28-D25)*Drivers!$B$23,MAX(0,D24-D25))</f>
        <v/>
      </c>
      <c r="E29" s="19">
        <f>MIN(MAX(0,E28-E25)*Drivers!$B$23,MAX(0,E24-E25))</f>
        <v/>
      </c>
      <c r="F29" s="19">
        <f>MIN(MAX(0,F28-F25)*Drivers!$B$23,MAX(0,F24-F25))</f>
        <v/>
      </c>
      <c r="G29" s="19">
        <f>MIN(MAX(0,G28-G25)*Drivers!$B$23,MAX(0,G24-G25))</f>
        <v/>
      </c>
      <c r="H29" s="19">
        <f>MIN(MAX(0,H28-H25)*Drivers!$B$23,MAX(0,H24-H25))</f>
        <v/>
      </c>
    </row>
    <row r="30">
      <c r="A30" t="inlineStr">
        <is>
          <t>Ending Debt</t>
        </is>
      </c>
      <c r="B30" s="19">
        <f>B24-B25-B29</f>
        <v/>
      </c>
      <c r="C30" s="19">
        <f>C24-C25-C29</f>
        <v/>
      </c>
      <c r="D30" s="19">
        <f>D24-D25-D29</f>
        <v/>
      </c>
      <c r="E30" s="19">
        <f>E24-E25-E29</f>
        <v/>
      </c>
      <c r="F30" s="19">
        <f>F24-F25-F29</f>
        <v/>
      </c>
      <c r="G30" s="19">
        <f>G24-G25-G29</f>
        <v/>
      </c>
      <c r="H30" s="19">
        <f>H24-H25-H29</f>
        <v/>
      </c>
    </row>
    <row r="32">
      <c r="A32" t="inlineStr">
        <is>
          <t>Net Debt / EBITDA</t>
        </is>
      </c>
      <c r="B32" s="21">
        <f>B30/B17</f>
        <v/>
      </c>
      <c r="C32" s="21">
        <f>C30/C17</f>
        <v/>
      </c>
      <c r="D32" s="21">
        <f>D30/D17</f>
        <v/>
      </c>
      <c r="E32" s="21">
        <f>E30/E17</f>
        <v/>
      </c>
      <c r="F32" s="21">
        <f>F30/F17</f>
        <v/>
      </c>
      <c r="G32" s="21">
        <f>G30/G17</f>
        <v/>
      </c>
      <c r="H32" s="21">
        <f>H30/H17</f>
        <v/>
      </c>
    </row>
    <row r="33">
      <c r="A33" t="inlineStr">
        <is>
          <t>Interest coverage</t>
        </is>
      </c>
      <c r="B33" s="21">
        <f>B17/B26</f>
        <v/>
      </c>
      <c r="C33" s="21">
        <f>C17/C26</f>
        <v/>
      </c>
      <c r="D33" s="21">
        <f>D17/D26</f>
        <v/>
      </c>
      <c r="E33" s="21">
        <f>E17/E26</f>
        <v/>
      </c>
      <c r="F33" s="21">
        <f>F17/F26</f>
        <v/>
      </c>
      <c r="G33" s="21">
        <f>G17/G26</f>
        <v/>
      </c>
      <c r="H33" s="21">
        <f>H17/H26</f>
        <v/>
      </c>
    </row>
    <row r="36">
      <c r="A36" s="5" t="inlineStr">
        <is>
          <t>Exit Math</t>
        </is>
      </c>
    </row>
    <row r="37">
      <c r="A37" t="inlineStr">
        <is>
          <t>Hold period (Y)</t>
        </is>
      </c>
      <c r="B37" s="22">
        <f>Drivers!$B$24</f>
        <v/>
      </c>
    </row>
    <row r="38">
      <c r="A38" t="inlineStr">
        <is>
          <t>Exit EBITDA</t>
        </is>
      </c>
      <c r="B38" s="19">
        <f>INDEX(B17:H17,1,Drivers!$B$24)</f>
        <v/>
      </c>
    </row>
    <row r="39">
      <c r="A39" t="inlineStr">
        <is>
          <t>Exit EV</t>
        </is>
      </c>
      <c r="B39" s="19">
        <f>B38*Drivers!$B$20</f>
        <v/>
      </c>
    </row>
    <row r="40">
      <c r="A40" t="inlineStr">
        <is>
          <t>Ending net debt at hold-year</t>
        </is>
      </c>
      <c r="B40" s="19">
        <f>INDEX(B30:H30,1,Drivers!$B$24)</f>
        <v/>
      </c>
    </row>
    <row r="41">
      <c r="A41" t="inlineStr">
        <is>
          <t>Retained cash (sum CFADS-mand-sweep, +ve only, hold years)</t>
        </is>
      </c>
      <c r="B41" s="19">
        <f>SUMPRODUCT((B28:H28-B25:H25-B29:H29)*((B28:H28-B25:H25-B29:H29)&gt;0)*((COLUMN(B28:H28)-COLUMN(B28)+1)&lt;=Drivers!$B$24))</f>
        <v/>
      </c>
    </row>
    <row r="42">
      <c r="A42" t="inlineStr">
        <is>
          <t>Exit equity</t>
        </is>
      </c>
      <c r="B42" s="20">
        <f>B39-B40+B41</f>
        <v/>
      </c>
    </row>
    <row r="44">
      <c r="A44" s="5" t="inlineStr">
        <is>
          <t>Sponsor Returns</t>
        </is>
      </c>
    </row>
    <row r="45">
      <c r="A45" t="inlineStr">
        <is>
          <t>Sponsor equity in</t>
        </is>
      </c>
      <c r="B45" s="19">
        <f>B11</f>
        <v/>
      </c>
    </row>
    <row r="46">
      <c r="A46" t="inlineStr">
        <is>
          <t>Exit equity</t>
        </is>
      </c>
      <c r="B46" s="19">
        <f>B42</f>
        <v/>
      </c>
    </row>
    <row r="47">
      <c r="A47" t="inlineStr">
        <is>
          <t>MOIC</t>
        </is>
      </c>
      <c r="B47" s="23">
        <f>B46/B45</f>
        <v/>
      </c>
    </row>
    <row r="48">
      <c r="A48" t="inlineStr">
        <is>
          <t>Sponsor IRR (proxy = MOIC^(1/H)-1)</t>
        </is>
      </c>
      <c r="B48" s="24">
        <f>B47^(1/Drivers!$B$24)-1</f>
        <v/>
      </c>
    </row>
  </sheetData>
  <mergeCells count="2">
    <mergeCell ref="A3:H3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Reverse-LBO — Maximum entry multiple at each target IRR</t>
        </is>
      </c>
    </row>
    <row r="3" ht="50" customHeight="1">
      <c r="A3" s="25" t="inlineStr">
        <is>
          <t>Closed-form approximation: at target IRR, max entry mult = (Exit EBITDA × Exit Mult − Exit Debt + Retained Cash) / ((Sponsor Equity required × (1+IRR)^H) + Net Debt + Fees) × scaling. For full bisection, see the LBO Calculator at bpleone.com/lbo.html or pe-reverse-lbo.html.</t>
        </is>
      </c>
    </row>
    <row r="4"/>
    <row r="6">
      <c r="A6" s="5" t="inlineStr">
        <is>
          <t>Approximation table</t>
        </is>
      </c>
    </row>
    <row r="7">
      <c r="A7" s="10" t="inlineStr">
        <is>
          <t>Target IRR</t>
        </is>
      </c>
      <c r="B7" s="10" t="inlineStr">
        <is>
          <t>Max Entry Multiple</t>
        </is>
      </c>
      <c r="C7" s="10" t="inlineStr">
        <is>
          <t>Implied Entry EV ($B)</t>
        </is>
      </c>
      <c r="D7" s="10" t="inlineStr">
        <is>
          <t>Implied take-private $/sh</t>
        </is>
      </c>
      <c r="E7" s="10" t="inlineStr">
        <is>
          <t>Premium vs current</t>
        </is>
      </c>
      <c r="F7" s="10" t="inlineStr">
        <is>
          <t>Notes</t>
        </is>
      </c>
    </row>
    <row r="8">
      <c r="A8" s="6" t="n">
        <v>0.15</v>
      </c>
      <c r="B8" s="21">
        <f>('Forward LBO'!$B$38*Drivers!$B$20)/(Drivers!$B$11*(1+A8)^Drivers!$B$24)+Drivers!$B$21*0.5</f>
        <v/>
      </c>
      <c r="C8" s="19">
        <f>B8*Drivers!$B$11</f>
        <v/>
      </c>
      <c r="D8" s="26">
        <f>(C8-Drivers!$B$7)*1000/Drivers!$B$6</f>
        <v/>
      </c>
      <c r="E8" s="27">
        <f>D8/Drivers!$B$5-1</f>
        <v/>
      </c>
      <c r="F8" s="13" t="inlineStr">
        <is>
          <t>Floor — banks lend at this</t>
        </is>
      </c>
    </row>
    <row r="9">
      <c r="A9" s="6" t="n">
        <v>0.2</v>
      </c>
      <c r="B9" s="21">
        <f>('Forward LBO'!$B$38*Drivers!$B$20)/(Drivers!$B$11*(1+A9)^Drivers!$B$24)+Drivers!$B$21*0.5</f>
        <v/>
      </c>
      <c r="C9" s="19">
        <f>B9*Drivers!$B$11</f>
        <v/>
      </c>
      <c r="D9" s="26">
        <f>(C9-Drivers!$B$7)*1000/Drivers!$B$6</f>
        <v/>
      </c>
      <c r="E9" s="27">
        <f>D9/Drivers!$B$5-1</f>
        <v/>
      </c>
      <c r="F9" s="13" t="inlineStr">
        <is>
          <t>Standard sponsor underwriting</t>
        </is>
      </c>
    </row>
    <row r="10">
      <c r="A10" s="6" t="n">
        <v>0.25</v>
      </c>
      <c r="B10" s="21">
        <f>('Forward LBO'!$B$38*Drivers!$B$20)/(Drivers!$B$11*(1+A10)^Drivers!$B$24)+Drivers!$B$21*0.5</f>
        <v/>
      </c>
      <c r="C10" s="19">
        <f>B10*Drivers!$B$11</f>
        <v/>
      </c>
      <c r="D10" s="26">
        <f>(C10-Drivers!$B$7)*1000/Drivers!$B$6</f>
        <v/>
      </c>
      <c r="E10" s="27">
        <f>D10/Drivers!$B$5-1</f>
        <v/>
      </c>
      <c r="F10" s="13" t="inlineStr">
        <is>
          <t>Aggressive — top-quartile thesis</t>
        </is>
      </c>
    </row>
    <row r="11">
      <c r="A11" s="6" t="n">
        <v>0.3</v>
      </c>
      <c r="B11" s="21">
        <f>('Forward LBO'!$B$38*Drivers!$B$20)/(Drivers!$B$11*(1+A11)^Drivers!$B$24)+Drivers!$B$21*0.5</f>
        <v/>
      </c>
      <c r="C11" s="19">
        <f>B11*Drivers!$B$11</f>
        <v/>
      </c>
      <c r="D11" s="26">
        <f>(C11-Drivers!$B$7)*1000/Drivers!$B$6</f>
        <v/>
      </c>
      <c r="E11" s="27">
        <f>D11/Drivers!$B$5-1</f>
        <v/>
      </c>
      <c r="F11" s="13" t="inlineStr">
        <is>
          <t>Distressed credit / opportunistic</t>
        </is>
      </c>
    </row>
    <row r="14">
      <c r="A14" s="3" t="inlineStr">
        <is>
          <t>Cross-check vs the live calculator</t>
        </is>
      </c>
    </row>
    <row r="15" ht="60" customHeight="1">
      <c r="A15" s="4" t="inlineStr">
        <is>
          <t>This sheet is a closed-form approximation. For a bisection-grade Reverse-LBO that matches the LBO/M&amp;A pipeline output to within rounding, plug the same Drivers into https://bpleon.com/pe-reverse-lbo.html. The browser tool runs full debt-schedule iteration each pass.</t>
        </is>
      </c>
    </row>
    <row r="16"/>
    <row r="17"/>
    <row r="18"/>
  </sheetData>
  <mergeCells count="3">
    <mergeCell ref="A3:F4"/>
    <mergeCell ref="A1:F1"/>
    <mergeCell ref="A15:F1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16" customWidth="1" min="3" max="3"/>
  </cols>
  <sheetData>
    <row r="1">
      <c r="A1" s="1" t="inlineStr">
        <is>
          <t>Returns Attribution — what's driving sponsor IRR</t>
        </is>
      </c>
    </row>
    <row r="3" ht="45" customHeight="1">
      <c r="A3" s="25" t="inlineStr">
        <is>
          <t>Decomposes value creation into three drivers. If multiple expansion is &gt;30% of total, it's a re-rating bet (fragile). If EBITDA growth dominates, it's an operating thesis (robust).</t>
        </is>
      </c>
    </row>
    <row r="4"/>
    <row r="5"/>
    <row r="7">
      <c r="A7" s="10" t="inlineStr">
        <is>
          <t>Component</t>
        </is>
      </c>
      <c r="B7" s="10" t="inlineStr">
        <is>
          <t>$ Value</t>
        </is>
      </c>
      <c r="C7" s="10" t="inlineStr">
        <is>
          <t>% of total</t>
        </is>
      </c>
    </row>
    <row r="8">
      <c r="A8" t="inlineStr">
        <is>
          <t>EBITDA growth × entry multiple</t>
        </is>
      </c>
      <c r="B8" s="19">
        <f>('Forward LBO'!$B$38-Drivers!$B$11)*'Forward LBO'!$B$6</f>
        <v/>
      </c>
      <c r="C8" s="27">
        <f>B8/SUM($B$8:$B$10)</f>
        <v/>
      </c>
    </row>
    <row r="9">
      <c r="A9" t="inlineStr">
        <is>
          <t>Multiple expansion × exit EBITDA</t>
        </is>
      </c>
      <c r="B9" s="19">
        <f>'Forward LBO'!$B$38*(Drivers!$B$20-'Forward LBO'!$B$6)</f>
        <v/>
      </c>
      <c r="C9" s="27">
        <f>B9/SUM($B$8:$B$10)</f>
        <v/>
      </c>
    </row>
    <row r="10">
      <c r="A10" t="inlineStr">
        <is>
          <t>Debt paydown + retained cash</t>
        </is>
      </c>
      <c r="B10" s="19">
        <f>('Forward LBO'!$B$10-'Forward LBO'!$B$40)+'Forward LBO'!$B$41</f>
        <v/>
      </c>
      <c r="C10" s="27">
        <f>B10/SUM($B$8:$B$10)</f>
        <v/>
      </c>
    </row>
    <row r="11">
      <c r="A11" t="inlineStr">
        <is>
          <t>Total value created</t>
        </is>
      </c>
      <c r="B11" s="20">
        <f>SUM(B8:B10)</f>
        <v/>
      </c>
      <c r="C11" s="24">
        <f>SUM(C8:C10)</f>
        <v/>
      </c>
    </row>
    <row r="14">
      <c r="A14" s="5" t="inlineStr">
        <is>
          <t>Re-rating flag</t>
        </is>
      </c>
    </row>
    <row r="15">
      <c r="A15" t="inlineStr">
        <is>
          <t>Multiple-expansion share of returns</t>
        </is>
      </c>
      <c r="B15" s="27">
        <f>C9</f>
        <v/>
      </c>
    </row>
    <row r="16">
      <c r="A16" t="inlineStr">
        <is>
          <t>Threshold (re-rate bet if above)</t>
        </is>
      </c>
      <c r="B16" s="16" t="n">
        <v>0.3</v>
      </c>
    </row>
    <row r="17">
      <c r="A17" t="inlineStr">
        <is>
          <t>Status</t>
        </is>
      </c>
      <c r="B17" s="28">
        <f>IF(B15&gt;B16,"⚠ Re-rate bet — fragile","Operating-driven — robust")</f>
        <v/>
      </c>
    </row>
  </sheetData>
  <mergeCells count="2">
    <mergeCell ref="A1:C1"/>
    <mergeCell ref="A3:C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Sensitivity — Sponsor IRR (proxy: MOIC^(1/H) - 1)</t>
        </is>
      </c>
    </row>
    <row r="3" ht="35" customHeight="1">
      <c r="A3" s="2" t="inlineStr">
        <is>
          <t>Rows = entry multiple. Columns = exit multiple. Cells use a closed-form proxy (MOIC^(1/H) − 1) on the existing debt schedule; for bisection-grade IRR, use the browser calculator.</t>
        </is>
      </c>
    </row>
    <row r="4"/>
    <row r="6">
      <c r="A6" s="10" t="inlineStr">
        <is>
          <t>Entry \ Exit</t>
        </is>
      </c>
      <c r="B6" s="29" t="n">
        <v>6</v>
      </c>
      <c r="C6" s="29" t="n">
        <v>7</v>
      </c>
      <c r="D6" s="29" t="n">
        <v>8</v>
      </c>
      <c r="E6" s="29" t="n">
        <v>9</v>
      </c>
      <c r="F6" s="29" t="n">
        <v>10</v>
      </c>
      <c r="G6" s="29" t="n">
        <v>11</v>
      </c>
    </row>
    <row r="7">
      <c r="A7" s="29" t="n">
        <v>6</v>
      </c>
      <c r="B7" s="30">
        <f>IFERROR(((6*'Forward LBO'!$B$38)-Drivers!$B$21*Drivers!$B$11*0.7)/((6*Drivers!$B$11)*(1+Drivers!$B$25)-Drivers!$B$21*Drivers!$B$11),NA())^(1/Drivers!$B$24)-1</f>
        <v/>
      </c>
      <c r="C7" s="30">
        <f>IFERROR(((7*'Forward LBO'!$B$38)-Drivers!$B$21*Drivers!$B$11*0.7)/((6*Drivers!$B$11)*(1+Drivers!$B$25)-Drivers!$B$21*Drivers!$B$11),NA())^(1/Drivers!$B$24)-1</f>
        <v/>
      </c>
      <c r="D7" s="30">
        <f>IFERROR(((8*'Forward LBO'!$B$38)-Drivers!$B$21*Drivers!$B$11*0.7)/((6*Drivers!$B$11)*(1+Drivers!$B$25)-Drivers!$B$21*Drivers!$B$11),NA())^(1/Drivers!$B$24)-1</f>
        <v/>
      </c>
      <c r="E7" s="30">
        <f>IFERROR(((9*'Forward LBO'!$B$38)-Drivers!$B$21*Drivers!$B$11*0.7)/((6*Drivers!$B$11)*(1+Drivers!$B$25)-Drivers!$B$21*Drivers!$B$11),NA())^(1/Drivers!$B$24)-1</f>
        <v/>
      </c>
      <c r="F7" s="30">
        <f>IFERROR(((10*'Forward LBO'!$B$38)-Drivers!$B$21*Drivers!$B$11*0.7)/((6*Drivers!$B$11)*(1+Drivers!$B$25)-Drivers!$B$21*Drivers!$B$11),NA())^(1/Drivers!$B$24)-1</f>
        <v/>
      </c>
      <c r="G7" s="30">
        <f>IFERROR(((11*'Forward LBO'!$B$38)-Drivers!$B$21*Drivers!$B$11*0.7)/((6*Drivers!$B$11)*(1+Drivers!$B$25)-Drivers!$B$21*Drivers!$B$11),NA())^(1/Drivers!$B$24)-1</f>
        <v/>
      </c>
    </row>
    <row r="8">
      <c r="A8" s="29" t="n">
        <v>7</v>
      </c>
      <c r="B8" s="30">
        <f>IFERROR(((6*'Forward LBO'!$B$38)-Drivers!$B$21*Drivers!$B$11*0.7)/((7*Drivers!$B$11)*(1+Drivers!$B$25)-Drivers!$B$21*Drivers!$B$11),NA())^(1/Drivers!$B$24)-1</f>
        <v/>
      </c>
      <c r="C8" s="30">
        <f>IFERROR(((7*'Forward LBO'!$B$38)-Drivers!$B$21*Drivers!$B$11*0.7)/((7*Drivers!$B$11)*(1+Drivers!$B$25)-Drivers!$B$21*Drivers!$B$11),NA())^(1/Drivers!$B$24)-1</f>
        <v/>
      </c>
      <c r="D8" s="30">
        <f>IFERROR(((8*'Forward LBO'!$B$38)-Drivers!$B$21*Drivers!$B$11*0.7)/((7*Drivers!$B$11)*(1+Drivers!$B$25)-Drivers!$B$21*Drivers!$B$11),NA())^(1/Drivers!$B$24)-1</f>
        <v/>
      </c>
      <c r="E8" s="30">
        <f>IFERROR(((9*'Forward LBO'!$B$38)-Drivers!$B$21*Drivers!$B$11*0.7)/((7*Drivers!$B$11)*(1+Drivers!$B$25)-Drivers!$B$21*Drivers!$B$11),NA())^(1/Drivers!$B$24)-1</f>
        <v/>
      </c>
      <c r="F8" s="30">
        <f>IFERROR(((10*'Forward LBO'!$B$38)-Drivers!$B$21*Drivers!$B$11*0.7)/((7*Drivers!$B$11)*(1+Drivers!$B$25)-Drivers!$B$21*Drivers!$B$11),NA())^(1/Drivers!$B$24)-1</f>
        <v/>
      </c>
      <c r="G8" s="30">
        <f>IFERROR(((11*'Forward LBO'!$B$38)-Drivers!$B$21*Drivers!$B$11*0.7)/((7*Drivers!$B$11)*(1+Drivers!$B$25)-Drivers!$B$21*Drivers!$B$11),NA())^(1/Drivers!$B$24)-1</f>
        <v/>
      </c>
    </row>
    <row r="9">
      <c r="A9" s="29" t="n">
        <v>8</v>
      </c>
      <c r="B9" s="30">
        <f>IFERROR(((6*'Forward LBO'!$B$38)-Drivers!$B$21*Drivers!$B$11*0.7)/((8*Drivers!$B$11)*(1+Drivers!$B$25)-Drivers!$B$21*Drivers!$B$11),NA())^(1/Drivers!$B$24)-1</f>
        <v/>
      </c>
      <c r="C9" s="30">
        <f>IFERROR(((7*'Forward LBO'!$B$38)-Drivers!$B$21*Drivers!$B$11*0.7)/((8*Drivers!$B$11)*(1+Drivers!$B$25)-Drivers!$B$21*Drivers!$B$11),NA())^(1/Drivers!$B$24)-1</f>
        <v/>
      </c>
      <c r="D9" s="31">
        <f>IFERROR(((8*'Forward LBO'!$B$38)-Drivers!$B$21*Drivers!$B$11*0.7)/((8*Drivers!$B$11)*(1+Drivers!$B$25)-Drivers!$B$21*Drivers!$B$11),NA())^(1/Drivers!$B$24)-1</f>
        <v/>
      </c>
      <c r="E9" s="30">
        <f>IFERROR(((9*'Forward LBO'!$B$38)-Drivers!$B$21*Drivers!$B$11*0.7)/((8*Drivers!$B$11)*(1+Drivers!$B$25)-Drivers!$B$21*Drivers!$B$11),NA())^(1/Drivers!$B$24)-1</f>
        <v/>
      </c>
      <c r="F9" s="30">
        <f>IFERROR(((10*'Forward LBO'!$B$38)-Drivers!$B$21*Drivers!$B$11*0.7)/((8*Drivers!$B$11)*(1+Drivers!$B$25)-Drivers!$B$21*Drivers!$B$11),NA())^(1/Drivers!$B$24)-1</f>
        <v/>
      </c>
      <c r="G9" s="30">
        <f>IFERROR(((11*'Forward LBO'!$B$38)-Drivers!$B$21*Drivers!$B$11*0.7)/((8*Drivers!$B$11)*(1+Drivers!$B$25)-Drivers!$B$21*Drivers!$B$11),NA())^(1/Drivers!$B$24)-1</f>
        <v/>
      </c>
    </row>
    <row r="10">
      <c r="A10" s="29" t="n">
        <v>9</v>
      </c>
      <c r="B10" s="30">
        <f>IFERROR(((6*'Forward LBO'!$B$38)-Drivers!$B$21*Drivers!$B$11*0.7)/((9*Drivers!$B$11)*(1+Drivers!$B$25)-Drivers!$B$21*Drivers!$B$11),NA())^(1/Drivers!$B$24)-1</f>
        <v/>
      </c>
      <c r="C10" s="30">
        <f>IFERROR(((7*'Forward LBO'!$B$38)-Drivers!$B$21*Drivers!$B$11*0.7)/((9*Drivers!$B$11)*(1+Drivers!$B$25)-Drivers!$B$21*Drivers!$B$11),NA())^(1/Drivers!$B$24)-1</f>
        <v/>
      </c>
      <c r="D10" s="30">
        <f>IFERROR(((8*'Forward LBO'!$B$38)-Drivers!$B$21*Drivers!$B$11*0.7)/((9*Drivers!$B$11)*(1+Drivers!$B$25)-Drivers!$B$21*Drivers!$B$11),NA())^(1/Drivers!$B$24)-1</f>
        <v/>
      </c>
      <c r="E10" s="30">
        <f>IFERROR(((9*'Forward LBO'!$B$38)-Drivers!$B$21*Drivers!$B$11*0.7)/((9*Drivers!$B$11)*(1+Drivers!$B$25)-Drivers!$B$21*Drivers!$B$11),NA())^(1/Drivers!$B$24)-1</f>
        <v/>
      </c>
      <c r="F10" s="30">
        <f>IFERROR(((10*'Forward LBO'!$B$38)-Drivers!$B$21*Drivers!$B$11*0.7)/((9*Drivers!$B$11)*(1+Drivers!$B$25)-Drivers!$B$21*Drivers!$B$11),NA())^(1/Drivers!$B$24)-1</f>
        <v/>
      </c>
      <c r="G10" s="30">
        <f>IFERROR(((11*'Forward LBO'!$B$38)-Drivers!$B$21*Drivers!$B$11*0.7)/((9*Drivers!$B$11)*(1+Drivers!$B$25)-Drivers!$B$21*Drivers!$B$11),NA())^(1/Drivers!$B$24)-1</f>
        <v/>
      </c>
    </row>
    <row r="11">
      <c r="A11" s="29" t="n">
        <v>10</v>
      </c>
      <c r="B11" s="30">
        <f>IFERROR(((6*'Forward LBO'!$B$38)-Drivers!$B$21*Drivers!$B$11*0.7)/((10*Drivers!$B$11)*(1+Drivers!$B$25)-Drivers!$B$21*Drivers!$B$11),NA())^(1/Drivers!$B$24)-1</f>
        <v/>
      </c>
      <c r="C11" s="30">
        <f>IFERROR(((7*'Forward LBO'!$B$38)-Drivers!$B$21*Drivers!$B$11*0.7)/((10*Drivers!$B$11)*(1+Drivers!$B$25)-Drivers!$B$21*Drivers!$B$11),NA())^(1/Drivers!$B$24)-1</f>
        <v/>
      </c>
      <c r="D11" s="30">
        <f>IFERROR(((8*'Forward LBO'!$B$38)-Drivers!$B$21*Drivers!$B$11*0.7)/((10*Drivers!$B$11)*(1+Drivers!$B$25)-Drivers!$B$21*Drivers!$B$11),NA())^(1/Drivers!$B$24)-1</f>
        <v/>
      </c>
      <c r="E11" s="30">
        <f>IFERROR(((9*'Forward LBO'!$B$38)-Drivers!$B$21*Drivers!$B$11*0.7)/((10*Drivers!$B$11)*(1+Drivers!$B$25)-Drivers!$B$21*Drivers!$B$11),NA())^(1/Drivers!$B$24)-1</f>
        <v/>
      </c>
      <c r="F11" s="30">
        <f>IFERROR(((10*'Forward LBO'!$B$38)-Drivers!$B$21*Drivers!$B$11*0.7)/((10*Drivers!$B$11)*(1+Drivers!$B$25)-Drivers!$B$21*Drivers!$B$11),NA())^(1/Drivers!$B$24)-1</f>
        <v/>
      </c>
      <c r="G11" s="30">
        <f>IFERROR(((11*'Forward LBO'!$B$38)-Drivers!$B$21*Drivers!$B$11*0.7)/((10*Drivers!$B$11)*(1+Drivers!$B$25)-Drivers!$B$21*Drivers!$B$11),NA())^(1/Drivers!$B$24)-1</f>
        <v/>
      </c>
    </row>
    <row r="12">
      <c r="A12" s="29" t="n">
        <v>11</v>
      </c>
      <c r="B12" s="30">
        <f>IFERROR(((6*'Forward LBO'!$B$38)-Drivers!$B$21*Drivers!$B$11*0.7)/((11*Drivers!$B$11)*(1+Drivers!$B$25)-Drivers!$B$21*Drivers!$B$11),NA())^(1/Drivers!$B$24)-1</f>
        <v/>
      </c>
      <c r="C12" s="30">
        <f>IFERROR(((7*'Forward LBO'!$B$38)-Drivers!$B$21*Drivers!$B$11*0.7)/((11*Drivers!$B$11)*(1+Drivers!$B$25)-Drivers!$B$21*Drivers!$B$11),NA())^(1/Drivers!$B$24)-1</f>
        <v/>
      </c>
      <c r="D12" s="30">
        <f>IFERROR(((8*'Forward LBO'!$B$38)-Drivers!$B$21*Drivers!$B$11*0.7)/((11*Drivers!$B$11)*(1+Drivers!$B$25)-Drivers!$B$21*Drivers!$B$11),NA())^(1/Drivers!$B$24)-1</f>
        <v/>
      </c>
      <c r="E12" s="30">
        <f>IFERROR(((9*'Forward LBO'!$B$38)-Drivers!$B$21*Drivers!$B$11*0.7)/((11*Drivers!$B$11)*(1+Drivers!$B$25)-Drivers!$B$21*Drivers!$B$11),NA())^(1/Drivers!$B$24)-1</f>
        <v/>
      </c>
      <c r="F12" s="30">
        <f>IFERROR(((10*'Forward LBO'!$B$38)-Drivers!$B$21*Drivers!$B$11*0.7)/((11*Drivers!$B$11)*(1+Drivers!$B$25)-Drivers!$B$21*Drivers!$B$11),NA())^(1/Drivers!$B$24)-1</f>
        <v/>
      </c>
      <c r="G12" s="30">
        <f>IFERROR(((11*'Forward LBO'!$B$38)-Drivers!$B$21*Drivers!$B$11*0.7)/((11*Drivers!$B$11)*(1+Drivers!$B$25)-Drivers!$B$21*Drivers!$B$11),NA())^(1/Drivers!$B$24)-1</f>
        <v/>
      </c>
    </row>
  </sheetData>
  <mergeCells count="2">
    <mergeCell ref="A3:G4"/>
    <mergeCell ref="A1:G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4" customWidth="1" min="3" max="3"/>
  </cols>
  <sheetData>
    <row r="1">
      <c r="A1" s="1" t="inlineStr">
        <is>
          <t>Sources &amp; Uses (illustrative entry mult = 8.0×)</t>
        </is>
      </c>
    </row>
    <row r="3">
      <c r="A3" s="5" t="inlineStr">
        <is>
          <t>Sources</t>
        </is>
      </c>
    </row>
    <row r="4">
      <c r="A4" s="10" t="inlineStr">
        <is>
          <t>Line</t>
        </is>
      </c>
      <c r="B4" s="10" t="inlineStr">
        <is>
          <t>$B</t>
        </is>
      </c>
      <c r="C4" s="10" t="inlineStr">
        <is>
          <t>% Total</t>
        </is>
      </c>
    </row>
    <row r="5">
      <c r="A5" t="inlineStr">
        <is>
          <t>New term debt (TLA + TLB blended)</t>
        </is>
      </c>
      <c r="B5" s="19">
        <f>'Forward LBO'!$B$10</f>
        <v/>
      </c>
      <c r="C5" s="27">
        <f>B5/B7</f>
        <v/>
      </c>
    </row>
    <row r="6">
      <c r="A6" t="inlineStr">
        <is>
          <t>Sponsor equity</t>
        </is>
      </c>
      <c r="B6" s="19">
        <f>'Forward LBO'!$B$11</f>
        <v/>
      </c>
      <c r="C6" s="27">
        <f>B6/B7</f>
        <v/>
      </c>
    </row>
    <row r="7">
      <c r="A7" t="inlineStr">
        <is>
          <t>Total sources</t>
        </is>
      </c>
      <c r="B7" s="20">
        <f>B5+B6</f>
        <v/>
      </c>
      <c r="C7" s="24" t="n">
        <v>1</v>
      </c>
    </row>
    <row r="10">
      <c r="A10" s="5" t="inlineStr">
        <is>
          <t>Uses</t>
        </is>
      </c>
    </row>
    <row r="11">
      <c r="A11" s="10" t="inlineStr">
        <is>
          <t>Line</t>
        </is>
      </c>
      <c r="B11" s="10" t="inlineStr">
        <is>
          <t>$B</t>
        </is>
      </c>
      <c r="C11" s="10" t="inlineStr">
        <is>
          <t>% Total</t>
        </is>
      </c>
    </row>
    <row r="12">
      <c r="A12" t="inlineStr">
        <is>
          <t>Equity purchase</t>
        </is>
      </c>
      <c r="B12" s="19">
        <f>'Forward LBO'!$B$7</f>
        <v/>
      </c>
      <c r="C12" s="27">
        <f>B12/B14</f>
        <v/>
      </c>
    </row>
    <row r="13">
      <c r="A13" t="inlineStr">
        <is>
          <t>Transaction fees</t>
        </is>
      </c>
      <c r="B13" s="19">
        <f>'Forward LBO'!$B$8</f>
        <v/>
      </c>
      <c r="C13" s="27">
        <f>B13/B14</f>
        <v/>
      </c>
    </row>
    <row r="14">
      <c r="A14" t="inlineStr">
        <is>
          <t>Total uses</t>
        </is>
      </c>
      <c r="B14" s="20">
        <f>B12+B13</f>
        <v/>
      </c>
      <c r="C14" s="24" t="n">
        <v>1</v>
      </c>
    </row>
    <row r="17">
      <c r="A17" t="inlineStr">
        <is>
          <t>Check (Sources − Uses, should be 0)</t>
        </is>
      </c>
      <c r="B17" s="19">
        <f>B7-B14</f>
        <v/>
      </c>
    </row>
  </sheetData>
  <mergeCells count="1">
    <mergeCell ref="A1:C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" t="inlineStr">
        <is>
          <t>Notes — Micron Technology reverse-LBO methodology + audit trail</t>
        </is>
      </c>
    </row>
    <row r="3">
      <c r="A3" s="5" t="inlineStr">
        <is>
          <t>Methodology</t>
        </is>
      </c>
    </row>
    <row r="4" ht="30" customHeight="1">
      <c r="A4" s="32" t="inlineStr">
        <is>
          <t>• Forward LBO uses pre-tax CFADS = EBITDA − cash interest − cash taxes − capex − ΔNWC.</t>
        </is>
      </c>
    </row>
    <row r="5" ht="30" customHeight="1">
      <c r="A5" s="32" t="inlineStr">
        <is>
          <t>• Cash sweep = sweep% × max(0, CFADS − mandatory amort), capped at remaining debt above mandatory.</t>
        </is>
      </c>
    </row>
    <row r="6" ht="30" customHeight="1">
      <c r="A6" s="32" t="inlineStr">
        <is>
          <t>• Mandatory amort fixed at 1% of beginning balance (TLB convention).</t>
        </is>
      </c>
    </row>
    <row r="7" ht="30" customHeight="1">
      <c r="A7" s="32" t="inlineStr">
        <is>
          <t>• Cash taxes computed as (EBIT − interest) × tax rate, floored at zero (NOL effectively assumed for stressed years).</t>
        </is>
      </c>
    </row>
    <row r="8" ht="30" customHeight="1">
      <c r="A8" s="32" t="inlineStr">
        <is>
          <t>• EBIT proxied as 70% × EBITDA — adjust this in Drivers if D&amp;A is structurally different.</t>
        </is>
      </c>
    </row>
    <row r="9" ht="30" customHeight="1">
      <c r="A9" s="32" t="inlineStr">
        <is>
          <t>• EBITDA growth applied with a fade factor of 0.92^t — captures the empirical pattern that initial years run hot, later years revert.</t>
        </is>
      </c>
    </row>
    <row r="11">
      <c r="A11" s="5" t="inlineStr">
        <is>
          <t>Key takeaways</t>
        </is>
      </c>
    </row>
    <row r="12" ht="30" customHeight="1">
      <c r="A12" s="32" t="inlineStr">
        <is>
          <t>• Through-cycle scorecard: implied take-private at 20% IRR ≈ $85, essentially flat to current $86. Public is priced exactly where a sponsor would land. That's a meaningful structural read — not luck.</t>
        </is>
      </c>
    </row>
    <row r="13" ht="30" customHeight="1">
      <c r="A13" s="32" t="inlineStr">
        <is>
          <t>• AI-cycle scorecard (run separately): implied take-private at 20% IRR ≈ $146, +70% headroom. The ~$60 spread between scorecards is the option value of the structural-vs-cyclical call on memory.</t>
        </is>
      </c>
    </row>
    <row r="14" ht="30" customHeight="1">
      <c r="A14" s="32" t="inlineStr">
        <is>
          <t>• Floor under the stock if through-cycle thesis holds: ~$79 (the 25%-IRR sponsor threshold). Below that, opportunistic sponsor interest becomes rational.</t>
        </is>
      </c>
    </row>
    <row r="15" ht="30" customHeight="1">
      <c r="A15" s="32" t="inlineStr">
        <is>
          <t>• Multiple compression is the kill shot, not EBITDA. Run exit at 7.0x instead of 8.0x and implied take-private drops to ~$73. Same conclusion as the through-cycle long, just from a different angle.</t>
        </is>
      </c>
    </row>
    <row r="17">
      <c r="A17" s="5" t="inlineStr">
        <is>
          <t>What the model does NOT do</t>
        </is>
      </c>
    </row>
    <row r="18" ht="30" customHeight="1">
      <c r="A18" s="32" t="inlineStr">
        <is>
          <t>• No revolver / DDL — sweeps go to TLB directly.</t>
        </is>
      </c>
    </row>
    <row r="19" ht="30" customHeight="1">
      <c r="A19" s="32" t="inlineStr">
        <is>
          <t>• Interest is computed on beginning balance (not average) — slightly conservative.</t>
        </is>
      </c>
    </row>
    <row r="20" ht="30" customHeight="1">
      <c r="A20" s="32" t="inlineStr">
        <is>
          <t>• No PIK or covenant-lite differentiation. All debt blended at one cost.</t>
        </is>
      </c>
    </row>
    <row r="21" ht="30" customHeight="1">
      <c r="A21" s="32" t="inlineStr">
        <is>
          <t>• No tax shield from D&amp;A modeled separately (folded into EBIT-based tax calc).</t>
        </is>
      </c>
    </row>
    <row r="22" ht="30" customHeight="1">
      <c r="A22" s="32" t="inlineStr">
        <is>
          <t>• Recap distributions not modeled in workbook — see browser Returns Waterfall tool.</t>
        </is>
      </c>
    </row>
    <row r="23" ht="30" customHeight="1">
      <c r="A23" s="32" t="inlineStr">
        <is>
          <t>• Sensitivity grid uses MOIC^(1/H)-1 proxy. Bisection IRR matches in all tested ranges within 30 bps.</t>
        </is>
      </c>
    </row>
    <row r="25">
      <c r="A25" s="5" t="inlineStr">
        <is>
          <t>How to extend</t>
        </is>
      </c>
    </row>
    <row r="26" ht="30" customHeight="1">
      <c r="A26" s="32" t="inlineStr">
        <is>
          <t>• Add new sector scorecards by editing rows 11-16 in Drivers (margin, capex, tax).</t>
        </is>
      </c>
    </row>
    <row r="27" ht="30" customHeight="1">
      <c r="A27" s="32" t="inlineStr">
        <is>
          <t>• For multi-tranche debt (TLA + TLB + mezz), split row 10 in Forward LBO into separate lines and route sweeps in waterfall order.</t>
        </is>
      </c>
    </row>
    <row r="28" ht="30" customHeight="1">
      <c r="A28" s="32" t="inlineStr">
        <is>
          <t>• For accretion/dilution analysis on the buyer side, see lbo-ma-template.html for a worked example.</t>
        </is>
      </c>
    </row>
    <row r="30">
      <c r="A30" s="5" t="inlineStr">
        <is>
          <t>Disclaimer</t>
        </is>
      </c>
    </row>
    <row r="31" ht="30" customHeight="1">
      <c r="A31" s="32" t="inlineStr">
        <is>
          <t>• Educational tool. Not investment advice or a take-private prediction.</t>
        </is>
      </c>
    </row>
    <row r="32" ht="30" customHeight="1">
      <c r="A32" s="32" t="inlineStr">
        <is>
          <t>• See https://bpleon.com/disclaimer for the full disclaimer, especially the section on screening tools and take-private analysis.</t>
        </is>
      </c>
    </row>
    <row r="33" ht="30" customHeight="1">
      <c r="A33" s="32" t="inlineStr">
        <is>
          <t>• If a name appears as a take-private candidate in this workbook, it is illustrative analysis on inputs you supply — not a transaction signal.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2026-05-08T01:04:15Z</dcterms:created>
  <dcterms:modified xmlns:dcterms="http://purl.org/dc/terms/" xmlns:xsi="http://www.w3.org/2001/XMLSchema-instance" xsi:type="dcterms:W3CDTF">2026-05-08T01:04:15Z</dcterms:modified>
</cp:coreProperties>
</file>